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ichael\Documents\Sync\work\MIT Graduate Work\Research\Radium Sorption\"/>
    </mc:Choice>
  </mc:AlternateContent>
  <bookViews>
    <workbookView xWindow="4905" yWindow="3555" windowWidth="20355" windowHeight="16440" tabRatio="500"/>
  </bookViews>
  <sheets>
    <sheet name="GW Recipe" sheetId="1" r:id="rId1"/>
    <sheet name="SW Recipe" sheetId="2" r:id="rId2"/>
    <sheet name="Brine &quot;Recipe&quot;" sheetId="3" r:id="rId3"/>
    <sheet name="Chemical Ordering" sheetId="4" r:id="rId4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1" l="1"/>
  <c r="D12" i="1"/>
  <c r="D13" i="1"/>
  <c r="D14" i="1"/>
  <c r="D15" i="1"/>
  <c r="D11" i="1"/>
  <c r="M14" i="2" l="1"/>
  <c r="M13" i="2"/>
  <c r="M12" i="2"/>
  <c r="M11" i="2"/>
  <c r="M10" i="2"/>
  <c r="M9" i="2"/>
  <c r="M8" i="2"/>
  <c r="M7" i="2"/>
  <c r="M6" i="2"/>
  <c r="M5" i="2"/>
  <c r="M4" i="2"/>
  <c r="M3" i="2"/>
  <c r="P11" i="1"/>
  <c r="L25" i="4" l="1"/>
  <c r="L19" i="4"/>
  <c r="L5" i="4"/>
  <c r="L28" i="4" s="1"/>
  <c r="L6" i="4"/>
  <c r="H24" i="1"/>
  <c r="G9" i="4"/>
  <c r="G8" i="4"/>
  <c r="G7" i="4"/>
  <c r="G6" i="4"/>
  <c r="G5" i="4"/>
  <c r="G4" i="4"/>
  <c r="G3" i="4"/>
  <c r="G2" i="4"/>
  <c r="H2" i="3"/>
  <c r="C22" i="3" s="1"/>
  <c r="C24" i="3"/>
  <c r="C17" i="3"/>
  <c r="D5" i="3"/>
  <c r="B18" i="3" s="1"/>
  <c r="D6" i="3"/>
  <c r="B19" i="3" s="1"/>
  <c r="D7" i="3"/>
  <c r="B20" i="3" s="1"/>
  <c r="D8" i="3"/>
  <c r="B21" i="3" s="1"/>
  <c r="D9" i="3"/>
  <c r="D10" i="3"/>
  <c r="B22" i="3" s="1"/>
  <c r="D11" i="3"/>
  <c r="B23" i="3" s="1"/>
  <c r="D12" i="3"/>
  <c r="B24" i="3" s="1"/>
  <c r="D4" i="3"/>
  <c r="F13" i="2"/>
  <c r="E5" i="2"/>
  <c r="G5" i="2" s="1"/>
  <c r="E6" i="2"/>
  <c r="G6" i="2" s="1"/>
  <c r="E7" i="2"/>
  <c r="G7" i="2" s="1"/>
  <c r="E8" i="2"/>
  <c r="G8" i="2" s="1"/>
  <c r="E9" i="2"/>
  <c r="G9" i="2" s="1"/>
  <c r="E10" i="2"/>
  <c r="G10" i="2" s="1"/>
  <c r="E12" i="2"/>
  <c r="G12" i="2" s="1"/>
  <c r="E13" i="2"/>
  <c r="G13" i="2" s="1"/>
  <c r="E14" i="2"/>
  <c r="G14" i="2" s="1"/>
  <c r="E4" i="2"/>
  <c r="G4" i="2" s="1"/>
  <c r="B16" i="2"/>
  <c r="B17" i="2" s="1"/>
  <c r="D17" i="2" s="1"/>
  <c r="D4" i="2"/>
  <c r="D5" i="2"/>
  <c r="D6" i="2"/>
  <c r="D7" i="2"/>
  <c r="D8" i="2"/>
  <c r="D9" i="2"/>
  <c r="D10" i="2"/>
  <c r="D12" i="2"/>
  <c r="D13" i="2"/>
  <c r="D14" i="2"/>
  <c r="H18" i="2"/>
  <c r="C16" i="2"/>
  <c r="C21" i="3" l="1"/>
  <c r="D21" i="3" s="1"/>
  <c r="E21" i="3" s="1"/>
  <c r="F8" i="3"/>
  <c r="G8" i="3"/>
  <c r="C23" i="3"/>
  <c r="D23" i="3" s="1"/>
  <c r="E23" i="3" s="1"/>
  <c r="C18" i="3"/>
  <c r="D18" i="3" s="1"/>
  <c r="E18" i="3" s="1"/>
  <c r="D24" i="3"/>
  <c r="E24" i="3" s="1"/>
  <c r="G5" i="3"/>
  <c r="C19" i="3"/>
  <c r="D19" i="3" s="1"/>
  <c r="E19" i="3" s="1"/>
  <c r="C20" i="3"/>
  <c r="D20" i="3" s="1"/>
  <c r="E20" i="3" s="1"/>
  <c r="D16" i="2"/>
  <c r="D22" i="3"/>
  <c r="E22" i="3" s="1"/>
  <c r="F5" i="3"/>
  <c r="B17" i="3" s="1"/>
  <c r="D17" i="3" s="1"/>
  <c r="E17" i="3" s="1"/>
  <c r="E16" i="2"/>
</calcChain>
</file>

<file path=xl/sharedStrings.xml><?xml version="1.0" encoding="utf-8"?>
<sst xmlns="http://schemas.openxmlformats.org/spreadsheetml/2006/main" count="966" uniqueCount="296">
  <si>
    <t>Aggregate Study</t>
  </si>
  <si>
    <t>mM PIPES</t>
  </si>
  <si>
    <t>mM KCl</t>
  </si>
  <si>
    <t xml:space="preserve">mM MgSO4 </t>
  </si>
  <si>
    <t>* Substitute with MgCl2 if redox-sensitive system</t>
  </si>
  <si>
    <t>mM NaCl</t>
  </si>
  <si>
    <t>mM CaCl2*2H2O</t>
  </si>
  <si>
    <t>pH</t>
  </si>
  <si>
    <t>* if microbially active</t>
  </si>
  <si>
    <t>uM NaH2PO4</t>
  </si>
  <si>
    <t>Chemical List</t>
  </si>
  <si>
    <t>Sodium PIPES</t>
  </si>
  <si>
    <t>Potassium Chloride</t>
  </si>
  <si>
    <t>Magnesium Sulfate</t>
  </si>
  <si>
    <t>Magnesium Chloride</t>
  </si>
  <si>
    <t>Sodium Chloride</t>
  </si>
  <si>
    <t>Calcium Chloride</t>
  </si>
  <si>
    <t>Sodium Phosphate (Dihydrogen)</t>
  </si>
  <si>
    <t>Sodium Phosphate (Monohydrogen)</t>
  </si>
  <si>
    <t>Basal Salts Media (artificial groundwater)</t>
  </si>
  <si>
    <t>uM NH4CL</t>
  </si>
  <si>
    <t>Wolfs Mineral Solution</t>
  </si>
  <si>
    <t>* if microbial. Standard recipe</t>
  </si>
  <si>
    <t xml:space="preserve">ionic strength: </t>
  </si>
  <si>
    <t>approx 0.01M</t>
  </si>
  <si>
    <t>Sea water after Millero 2006</t>
  </si>
  <si>
    <t>Compound</t>
  </si>
  <si>
    <t>NaCl</t>
  </si>
  <si>
    <t>KCl</t>
  </si>
  <si>
    <t>g/kg seawater</t>
  </si>
  <si>
    <t>mol/kg sw</t>
  </si>
  <si>
    <t>NaHCO3</t>
  </si>
  <si>
    <t>KBr</t>
  </si>
  <si>
    <t>B(OH)3</t>
  </si>
  <si>
    <t>NaF</t>
  </si>
  <si>
    <t xml:space="preserve">moles </t>
  </si>
  <si>
    <t>Total Salts</t>
  </si>
  <si>
    <t>Water required</t>
  </si>
  <si>
    <t>kg/L</t>
  </si>
  <si>
    <t>g/L seawater</t>
  </si>
  <si>
    <t>volume of 1 kg seawater</t>
  </si>
  <si>
    <t>mM</t>
  </si>
  <si>
    <t>Assumed Density of seawater</t>
  </si>
  <si>
    <t>Mass req for 10 L seawater</t>
  </si>
  <si>
    <t>Molecular Weight</t>
  </si>
  <si>
    <t>MgCl2 Hexahydrate</t>
  </si>
  <si>
    <t>CaCl2 Dihydrate</t>
  </si>
  <si>
    <t>SrCl2 Hexahydrate</t>
  </si>
  <si>
    <t>Na2SO4 Decahydrate</t>
  </si>
  <si>
    <t>(Anhydrous)</t>
  </si>
  <si>
    <t>Hydrated Salts</t>
  </si>
  <si>
    <t>Using hydrated salts</t>
  </si>
  <si>
    <t>Artificial Brine</t>
  </si>
  <si>
    <t>Constiutents</t>
  </si>
  <si>
    <t>Na+</t>
  </si>
  <si>
    <t>Ca2+</t>
  </si>
  <si>
    <t>Mg2+</t>
  </si>
  <si>
    <t>Ba2+</t>
  </si>
  <si>
    <t>Sr2+</t>
  </si>
  <si>
    <t>Cl-</t>
  </si>
  <si>
    <t>Br-</t>
  </si>
  <si>
    <t>SO42-</t>
  </si>
  <si>
    <t>CO32-</t>
  </si>
  <si>
    <t>mg/L brine</t>
  </si>
  <si>
    <t>Running some quick tests in Visual MINTEQ show that Sulfate and Carbonate are highly likely to precipitate</t>
  </si>
  <si>
    <t>Moles/L brine</t>
  </si>
  <si>
    <t>Sodium Balance</t>
  </si>
  <si>
    <t>Chlorine Balance</t>
  </si>
  <si>
    <t>Charge balance</t>
  </si>
  <si>
    <t>Recipe</t>
  </si>
  <si>
    <t>Moles/Liter</t>
  </si>
  <si>
    <t xml:space="preserve">Water </t>
  </si>
  <si>
    <t>CaCl2 dihydrate</t>
  </si>
  <si>
    <t>MgCl2 hexahydrate</t>
  </si>
  <si>
    <t>BaCl2 dihydrate</t>
  </si>
  <si>
    <t>SrCl2 hexahydrate</t>
  </si>
  <si>
    <t>NaBr dihydrate</t>
  </si>
  <si>
    <t>Na2SO4 decahydrate</t>
  </si>
  <si>
    <t>Mass chemical/liter artificial seawater</t>
  </si>
  <si>
    <t>Mass required for 7 L (g)</t>
  </si>
  <si>
    <t>GW recipe requires not much of anything relative to SW and brine</t>
  </si>
  <si>
    <t>Mass req.</t>
  </si>
  <si>
    <t>NaPIPES</t>
  </si>
  <si>
    <t>MgSO4</t>
  </si>
  <si>
    <t>NH4Cl</t>
  </si>
  <si>
    <t>NaH2PO4</t>
  </si>
  <si>
    <t>Na2HPO4</t>
  </si>
  <si>
    <t>g</t>
  </si>
  <si>
    <t>Formula</t>
  </si>
  <si>
    <t>Name</t>
  </si>
  <si>
    <t>Calcium Chloride Dihydrate</t>
  </si>
  <si>
    <t>Magnesium Chloride Hexahydrate</t>
  </si>
  <si>
    <t>CaCl2*2 H2O</t>
  </si>
  <si>
    <t>MgCl2*6 H2O</t>
  </si>
  <si>
    <t>Barium Chloride Dihydrate</t>
  </si>
  <si>
    <t>Strontium Chloride Hexahydrate</t>
  </si>
  <si>
    <t>BaCl2 *2 H2O</t>
  </si>
  <si>
    <t>SrCl2*6 H2O</t>
  </si>
  <si>
    <t>Sodium Bromide Dihydrate</t>
  </si>
  <si>
    <t>NaBr*2 H2O</t>
  </si>
  <si>
    <t>Sodium Sulfate Decahydrate</t>
  </si>
  <si>
    <t>Na2SO4* 10 H2O</t>
  </si>
  <si>
    <t>Sodium Bicarbonate</t>
  </si>
  <si>
    <t>Potassium Bromide</t>
  </si>
  <si>
    <t>Boric Acid</t>
  </si>
  <si>
    <t>Sodium Fluoride</t>
  </si>
  <si>
    <t>Sodium Pipes</t>
  </si>
  <si>
    <t>Ammonium Chloride</t>
  </si>
  <si>
    <t>Brine</t>
  </si>
  <si>
    <t>Seawater</t>
  </si>
  <si>
    <t>Unit</t>
  </si>
  <si>
    <t>Quantity</t>
  </si>
  <si>
    <t>Cost</t>
  </si>
  <si>
    <t>Catalog Number</t>
  </si>
  <si>
    <t>BDH9286-2.5KG</t>
  </si>
  <si>
    <t>2.5 kg</t>
  </si>
  <si>
    <t>500 g</t>
  </si>
  <si>
    <t>125 g</t>
  </si>
  <si>
    <t>89230-008</t>
  </si>
  <si>
    <t>100 g</t>
  </si>
  <si>
    <t>Hydrochloric Acid--"GR --general reagent" grade</t>
  </si>
  <si>
    <t>HCl ~36%</t>
  </si>
  <si>
    <t>EMD-HX0603-3</t>
  </si>
  <si>
    <t>Hydrochloric Acid -pure/-trace metal grade</t>
  </si>
  <si>
    <t>HCL ~36%</t>
  </si>
  <si>
    <t>EM-HX0607-2</t>
  </si>
  <si>
    <t>Sulfuric acid--acs grade or higher*</t>
  </si>
  <si>
    <t>H2SO4</t>
  </si>
  <si>
    <t>EMD-SX1244-5</t>
  </si>
  <si>
    <t>nitric acid--acs grade or higher*</t>
  </si>
  <si>
    <t>HNO3</t>
  </si>
  <si>
    <t>EM-NX0409-2</t>
  </si>
  <si>
    <t>Sodium Oxalate</t>
  </si>
  <si>
    <t>Na2C2O4</t>
  </si>
  <si>
    <t>AA41759-18</t>
  </si>
  <si>
    <t>Potassium permanganate</t>
  </si>
  <si>
    <t>KMnO4</t>
  </si>
  <si>
    <t>97064-548</t>
  </si>
  <si>
    <t>sodium hydroxide (pellets)</t>
  </si>
  <si>
    <t>NaOH</t>
  </si>
  <si>
    <t>BDH9292-500G</t>
  </si>
  <si>
    <t>HEPES buffer</t>
  </si>
  <si>
    <t>C8H17N2NaO4S</t>
  </si>
  <si>
    <t>97061-774</t>
  </si>
  <si>
    <t>2.5 L</t>
  </si>
  <si>
    <t>50 g</t>
  </si>
  <si>
    <t>102624-508</t>
  </si>
  <si>
    <t>(anhydrous)</t>
  </si>
  <si>
    <t>AA11560-36</t>
  </si>
  <si>
    <t>97062-460</t>
  </si>
  <si>
    <t>1 kg</t>
  </si>
  <si>
    <t>MK595804</t>
  </si>
  <si>
    <t>EM-CX0130-2</t>
  </si>
  <si>
    <t>JT3040-1</t>
  </si>
  <si>
    <t>700001-240</t>
  </si>
  <si>
    <t>97061-978</t>
  </si>
  <si>
    <t>AA11561-30</t>
  </si>
  <si>
    <t>250 g</t>
  </si>
  <si>
    <t>AA11596-22</t>
  </si>
  <si>
    <t>AA11591-30</t>
  </si>
  <si>
    <t>AA13437-30</t>
  </si>
  <si>
    <t>MK338412</t>
  </si>
  <si>
    <t>97061-136</t>
  </si>
  <si>
    <t>Total cost</t>
  </si>
  <si>
    <t>Ordered</t>
  </si>
  <si>
    <t>Yes</t>
  </si>
  <si>
    <t>AA33393-22</t>
  </si>
  <si>
    <t>Arrived</t>
  </si>
  <si>
    <t>MSDS</t>
  </si>
  <si>
    <t>Visual MINTEQ Output</t>
  </si>
  <si>
    <t>SO4-2</t>
  </si>
  <si>
    <t>OH-</t>
  </si>
  <si>
    <t>NaSO4-</t>
  </si>
  <si>
    <t>NaOH (aq)</t>
  </si>
  <si>
    <t>NaHCO3 (aq)</t>
  </si>
  <si>
    <t>NaCO3-</t>
  </si>
  <si>
    <t>NaCl (aq)</t>
  </si>
  <si>
    <t>Na+1</t>
  </si>
  <si>
    <t>MgSO4 (aq)</t>
  </si>
  <si>
    <t>MgOH+</t>
  </si>
  <si>
    <t>MgHCO3+</t>
  </si>
  <si>
    <t>MgCO3 (aq)</t>
  </si>
  <si>
    <t>MgCl+</t>
  </si>
  <si>
    <t>Mg2CO3+2</t>
  </si>
  <si>
    <t>Mg+2</t>
  </si>
  <si>
    <t>KSO4-</t>
  </si>
  <si>
    <t>KOH (aq)</t>
  </si>
  <si>
    <t>KCl (aq)</t>
  </si>
  <si>
    <t>K+1</t>
  </si>
  <si>
    <t>HSO4-</t>
  </si>
  <si>
    <t>HCO3-</t>
  </si>
  <si>
    <t>H2CO3* (aq)</t>
  </si>
  <si>
    <t>H+1</t>
  </si>
  <si>
    <t>CO3-2</t>
  </si>
  <si>
    <t>Cl-1</t>
  </si>
  <si>
    <t>CaSO4 (aq)</t>
  </si>
  <si>
    <t>CaOH+</t>
  </si>
  <si>
    <t>CaHCO3+</t>
  </si>
  <si>
    <t>CaCO3 (aq)</t>
  </si>
  <si>
    <t>CaCl+</t>
  </si>
  <si>
    <t>Ca+2</t>
  </si>
  <si>
    <t>Log activity</t>
  </si>
  <si>
    <t>Activity</t>
  </si>
  <si>
    <t>Concentration</t>
  </si>
  <si>
    <t>Components</t>
  </si>
  <si>
    <t>K+</t>
  </si>
  <si>
    <t>Conc/Activity</t>
  </si>
  <si>
    <t>Species Distr.</t>
  </si>
  <si>
    <t>Species name</t>
  </si>
  <si>
    <t>% of total concentration</t>
  </si>
  <si>
    <t>Component</t>
  </si>
  <si>
    <t>Vaterite</t>
  </si>
  <si>
    <t>H2O</t>
  </si>
  <si>
    <t>Thermonatrite</t>
  </si>
  <si>
    <t>Thenardite</t>
  </si>
  <si>
    <t>Portlandite</t>
  </si>
  <si>
    <t>Periclase</t>
  </si>
  <si>
    <t>Nesquehonite</t>
  </si>
  <si>
    <t>Natron</t>
  </si>
  <si>
    <t>Mirabilite</t>
  </si>
  <si>
    <t>MgCO3:5H2O(s)</t>
  </si>
  <si>
    <t>Mg2(OH)3Cl:4H2O(s)</t>
  </si>
  <si>
    <t>Mg(OH)2 (active)</t>
  </si>
  <si>
    <t>Magnesite</t>
  </si>
  <si>
    <t>Lime</t>
  </si>
  <si>
    <t>KCl(s)</t>
  </si>
  <si>
    <t>Hydromagnesite</t>
  </si>
  <si>
    <t>Huntite</t>
  </si>
  <si>
    <t>Halite</t>
  </si>
  <si>
    <t>Gypsum</t>
  </si>
  <si>
    <t>Epsomite</t>
  </si>
  <si>
    <t>Dolomite (ordered)</t>
  </si>
  <si>
    <t>Dolomite (disordered)</t>
  </si>
  <si>
    <t>Calcite</t>
  </si>
  <si>
    <t>CaCO3xH2O(s)</t>
  </si>
  <si>
    <t>Brucite</t>
  </si>
  <si>
    <t>Artinite</t>
  </si>
  <si>
    <t>Aragonite</t>
  </si>
  <si>
    <t>Anhydrite</t>
  </si>
  <si>
    <t>Stoichiometry</t>
  </si>
  <si>
    <t>Sat. index</t>
  </si>
  <si>
    <t>log IAP</t>
  </si>
  <si>
    <t>Mineral</t>
  </si>
  <si>
    <t>Saturation Indices</t>
  </si>
  <si>
    <t>mmolal</t>
  </si>
  <si>
    <t>B3+</t>
  </si>
  <si>
    <t>F-</t>
  </si>
  <si>
    <t>Concentraiton/Activity</t>
  </si>
  <si>
    <t>SrSO4 (aq)</t>
  </si>
  <si>
    <t>SrOH+</t>
  </si>
  <si>
    <t>SrHCO3+</t>
  </si>
  <si>
    <t>SrH2BO3+</t>
  </si>
  <si>
    <t>SrF+</t>
  </si>
  <si>
    <t>SrCO3 (aq)</t>
  </si>
  <si>
    <t>SrCl+</t>
  </si>
  <si>
    <t>Sr+2</t>
  </si>
  <si>
    <t>NaH2BO3 (aq)</t>
  </si>
  <si>
    <t>NaF (aq)</t>
  </si>
  <si>
    <t>MgH2BO3+</t>
  </si>
  <si>
    <t>MgF+</t>
  </si>
  <si>
    <t>KF (aq)</t>
  </si>
  <si>
    <t>HF2-</t>
  </si>
  <si>
    <t>HF (aq)</t>
  </si>
  <si>
    <t>H8(BO3)3-</t>
  </si>
  <si>
    <t>H5(BO3)2-</t>
  </si>
  <si>
    <t>H3BO3</t>
  </si>
  <si>
    <t>H2BO3-</t>
  </si>
  <si>
    <t>H10(BO3)4-2</t>
  </si>
  <si>
    <t>F-1</t>
  </si>
  <si>
    <t>CaH2BO3+</t>
  </si>
  <si>
    <t>CaF+</t>
  </si>
  <si>
    <t>Br-1</t>
  </si>
  <si>
    <t>BF4-</t>
  </si>
  <si>
    <t>BF3OHF-</t>
  </si>
  <si>
    <t>BF2(OH)2-</t>
  </si>
  <si>
    <t>BF(OH)3-</t>
  </si>
  <si>
    <t>Species Distribution</t>
  </si>
  <si>
    <t>Strontianite</t>
  </si>
  <si>
    <t>SrF2(s)</t>
  </si>
  <si>
    <t>NaF(s)</t>
  </si>
  <si>
    <t>MgF2(s)</t>
  </si>
  <si>
    <t>Fluorite</t>
  </si>
  <si>
    <t>Celestite</t>
  </si>
  <si>
    <t>BaSO4 (aq)</t>
  </si>
  <si>
    <t>BaCl+</t>
  </si>
  <si>
    <t>BaHCO3+</t>
  </si>
  <si>
    <t>BaCO3 (aq)</t>
  </si>
  <si>
    <t>Ba+2</t>
  </si>
  <si>
    <t>Speciation Distrib.</t>
  </si>
  <si>
    <t>BaOH+</t>
  </si>
  <si>
    <t>Witherite</t>
  </si>
  <si>
    <t>Barite</t>
  </si>
  <si>
    <t>Ba(OH)2:8H2O(s)</t>
  </si>
  <si>
    <t>Saturation</t>
  </si>
  <si>
    <t>g/L</t>
  </si>
  <si>
    <t>mM NaHCO3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</si>
</sst>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164" formatCode="0.00000"/>
    <numFmt numFmtId="165" formatCode="0.0000"/>
    <numFmt numFmtId="166" formatCode="&quot;$&quot;#,##0.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Verdana"/>
    </font>
    <font>
      <i/>
      <sz val="11"/>
      <color rgb="FF000000"/>
      <name val="Verdana"/>
    </font>
    <font>
      <sz val="11"/>
      <color rgb="FF000000"/>
      <name val="Verdana"/>
      <family val="2"/>
    </font>
    <font>
      <i/>
      <sz val="11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" fontId="0" fillId="0" borderId="0" xfId="0" applyNumberFormat="1"/>
    <xf numFmtId="166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8" fontId="0" fillId="0" borderId="0" xfId="0" applyNumberFormat="1"/>
    <xf numFmtId="0" fontId="6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63"/>
  <sheetViews>
    <sheetView tabSelected="1" showRuler="0" topLeftCell="H1" workbookViewId="0">
      <selection activeCell="Q15" sqref="Q15"/>
    </sheetView>
  </sheetViews>
  <sheetFormatPr defaultColWidth="11" defaultRowHeight="15.75" x14ac:dyDescent="0.25"/>
  <sheetData>
    <row r="2" spans="1:16" x14ac:dyDescent="0.25">
      <c r="L2" t="s">
        <v>10</v>
      </c>
    </row>
    <row r="4" spans="1:16" x14ac:dyDescent="0.25">
      <c r="A4" t="s">
        <v>0</v>
      </c>
      <c r="O4" t="s">
        <v>204</v>
      </c>
      <c r="P4" t="s">
        <v>41</v>
      </c>
    </row>
    <row r="5" spans="1:16" x14ac:dyDescent="0.25">
      <c r="O5" t="s">
        <v>54</v>
      </c>
      <c r="P5">
        <v>8.9</v>
      </c>
    </row>
    <row r="6" spans="1:16" x14ac:dyDescent="0.25">
      <c r="L6" t="s">
        <v>11</v>
      </c>
      <c r="O6" t="s">
        <v>205</v>
      </c>
      <c r="P6">
        <v>2.7</v>
      </c>
    </row>
    <row r="7" spans="1:16" x14ac:dyDescent="0.25">
      <c r="L7" t="s">
        <v>12</v>
      </c>
      <c r="O7" t="s">
        <v>56</v>
      </c>
      <c r="P7">
        <v>0.3</v>
      </c>
    </row>
    <row r="8" spans="1:16" x14ac:dyDescent="0.25">
      <c r="L8" t="s">
        <v>13</v>
      </c>
      <c r="O8" t="s">
        <v>55</v>
      </c>
      <c r="P8">
        <v>0.4</v>
      </c>
    </row>
    <row r="9" spans="1:16" x14ac:dyDescent="0.25">
      <c r="A9" t="s">
        <v>19</v>
      </c>
      <c r="L9" t="s">
        <v>14</v>
      </c>
    </row>
    <row r="10" spans="1:16" x14ac:dyDescent="0.25">
      <c r="C10" t="s">
        <v>44</v>
      </c>
      <c r="D10" t="s">
        <v>294</v>
      </c>
      <c r="L10" t="s">
        <v>15</v>
      </c>
      <c r="O10" t="s">
        <v>61</v>
      </c>
      <c r="P10">
        <v>0.3</v>
      </c>
    </row>
    <row r="11" spans="1:16" x14ac:dyDescent="0.25">
      <c r="A11">
        <v>10</v>
      </c>
      <c r="B11" t="s">
        <v>1</v>
      </c>
      <c r="C11">
        <v>324.35000000000002</v>
      </c>
      <c r="D11">
        <f>C11*A11/1000</f>
        <v>3.2435</v>
      </c>
      <c r="L11" t="s">
        <v>16</v>
      </c>
      <c r="O11" t="s">
        <v>59</v>
      </c>
      <c r="P11">
        <f>0.8+7.9+2.7</f>
        <v>11.400000000000002</v>
      </c>
    </row>
    <row r="12" spans="1:16" x14ac:dyDescent="0.25">
      <c r="A12">
        <v>2.7</v>
      </c>
      <c r="B12" t="s">
        <v>2</v>
      </c>
      <c r="C12">
        <v>74.55</v>
      </c>
      <c r="D12">
        <f t="shared" ref="D12:D16" si="0">C12*A12/1000</f>
        <v>0.20128499999999999</v>
      </c>
      <c r="L12" t="s">
        <v>17</v>
      </c>
      <c r="O12" t="s">
        <v>190</v>
      </c>
      <c r="P12">
        <v>1</v>
      </c>
    </row>
    <row r="13" spans="1:16" x14ac:dyDescent="0.25">
      <c r="A13">
        <v>0.3</v>
      </c>
      <c r="B13" t="s">
        <v>3</v>
      </c>
      <c r="C13">
        <v>246.47</v>
      </c>
      <c r="D13">
        <f t="shared" si="0"/>
        <v>7.3941000000000007E-2</v>
      </c>
      <c r="E13" t="s">
        <v>4</v>
      </c>
      <c r="L13" t="s">
        <v>18</v>
      </c>
    </row>
    <row r="14" spans="1:16" x14ac:dyDescent="0.25">
      <c r="A14">
        <v>7.9</v>
      </c>
      <c r="B14" t="s">
        <v>5</v>
      </c>
      <c r="C14">
        <v>58.44</v>
      </c>
      <c r="D14">
        <f t="shared" si="0"/>
        <v>0.46167599999999998</v>
      </c>
    </row>
    <row r="15" spans="1:16" x14ac:dyDescent="0.25">
      <c r="A15">
        <v>0.4</v>
      </c>
      <c r="B15" t="s">
        <v>6</v>
      </c>
      <c r="C15">
        <v>147.02000000000001</v>
      </c>
      <c r="D15">
        <f t="shared" si="0"/>
        <v>5.8808000000000006E-2</v>
      </c>
    </row>
    <row r="16" spans="1:16" x14ac:dyDescent="0.25">
      <c r="A16">
        <v>1</v>
      </c>
      <c r="B16" t="s">
        <v>295</v>
      </c>
      <c r="C16">
        <v>84.007000000000005</v>
      </c>
      <c r="D16">
        <f t="shared" si="0"/>
        <v>8.4006999999999998E-2</v>
      </c>
    </row>
    <row r="18" spans="1:20" x14ac:dyDescent="0.25">
      <c r="A18">
        <v>7.1</v>
      </c>
      <c r="B18" t="s">
        <v>7</v>
      </c>
    </row>
    <row r="19" spans="1:20" x14ac:dyDescent="0.25">
      <c r="A19">
        <v>0.26</v>
      </c>
      <c r="B19" t="s">
        <v>9</v>
      </c>
      <c r="D19" t="s">
        <v>8</v>
      </c>
    </row>
    <row r="20" spans="1:20" x14ac:dyDescent="0.25">
      <c r="A20">
        <v>17.8</v>
      </c>
      <c r="B20" t="s">
        <v>20</v>
      </c>
      <c r="D20" t="s">
        <v>8</v>
      </c>
    </row>
    <row r="22" spans="1:20" x14ac:dyDescent="0.25">
      <c r="A22" t="s">
        <v>21</v>
      </c>
      <c r="D22" t="s">
        <v>22</v>
      </c>
    </row>
    <row r="24" spans="1:20" x14ac:dyDescent="0.25">
      <c r="A24" t="s">
        <v>23</v>
      </c>
      <c r="C24" t="s">
        <v>24</v>
      </c>
      <c r="H24">
        <f>246.47*A13/1000</f>
        <v>7.3941000000000007E-2</v>
      </c>
    </row>
    <row r="27" spans="1:20" x14ac:dyDescent="0.25">
      <c r="A27" t="s">
        <v>169</v>
      </c>
    </row>
    <row r="28" spans="1:20" x14ac:dyDescent="0.25">
      <c r="A28" t="s">
        <v>206</v>
      </c>
      <c r="F28" t="s">
        <v>207</v>
      </c>
      <c r="J28" t="s">
        <v>243</v>
      </c>
    </row>
    <row r="29" spans="1:20" x14ac:dyDescent="0.25">
      <c r="B29" t="s">
        <v>203</v>
      </c>
      <c r="C29" t="s">
        <v>202</v>
      </c>
      <c r="D29" t="s">
        <v>201</v>
      </c>
      <c r="F29" t="s">
        <v>210</v>
      </c>
      <c r="G29" t="s">
        <v>209</v>
      </c>
      <c r="H29" t="s">
        <v>208</v>
      </c>
      <c r="J29" t="s">
        <v>242</v>
      </c>
      <c r="K29" t="s">
        <v>241</v>
      </c>
      <c r="L29" t="s">
        <v>240</v>
      </c>
      <c r="M29" t="s">
        <v>239</v>
      </c>
    </row>
    <row r="30" spans="1:20" x14ac:dyDescent="0.25">
      <c r="A30" t="s">
        <v>200</v>
      </c>
      <c r="B30">
        <v>3.8090999999999998E-4</v>
      </c>
      <c r="C30">
        <v>2.3677E-4</v>
      </c>
      <c r="D30">
        <v>-3.6259999999999999</v>
      </c>
      <c r="F30" t="s">
        <v>193</v>
      </c>
      <c r="G30">
        <v>5.5E-2</v>
      </c>
      <c r="H30" t="s">
        <v>193</v>
      </c>
      <c r="J30" t="s">
        <v>238</v>
      </c>
      <c r="K30">
        <v>-7.3949999999999996</v>
      </c>
      <c r="L30">
        <v>-3.0350000000000001</v>
      </c>
      <c r="M30">
        <v>1</v>
      </c>
      <c r="N30" t="s">
        <v>200</v>
      </c>
      <c r="O30">
        <v>1</v>
      </c>
      <c r="P30" t="s">
        <v>170</v>
      </c>
    </row>
    <row r="31" spans="1:20" x14ac:dyDescent="0.25">
      <c r="A31" t="s">
        <v>199</v>
      </c>
      <c r="B31">
        <v>6.7405000000000001E-6</v>
      </c>
      <c r="C31">
        <v>5.9851000000000005E-6</v>
      </c>
      <c r="D31">
        <v>-5.2229999999999999</v>
      </c>
      <c r="G31">
        <v>0.28799999999999998</v>
      </c>
      <c r="H31" t="s">
        <v>174</v>
      </c>
      <c r="J31" t="s">
        <v>237</v>
      </c>
      <c r="K31">
        <v>-10.010999999999999</v>
      </c>
      <c r="L31">
        <v>-1.675</v>
      </c>
      <c r="M31">
        <v>1</v>
      </c>
      <c r="N31" t="s">
        <v>200</v>
      </c>
      <c r="O31">
        <v>1</v>
      </c>
      <c r="P31" t="s">
        <v>193</v>
      </c>
    </row>
    <row r="32" spans="1:20" x14ac:dyDescent="0.25">
      <c r="A32" t="s">
        <v>198</v>
      </c>
      <c r="B32">
        <v>1.6138999999999999E-7</v>
      </c>
      <c r="C32">
        <v>1.6191E-7</v>
      </c>
      <c r="D32">
        <v>-6.7910000000000004</v>
      </c>
      <c r="G32">
        <v>82.757999999999996</v>
      </c>
      <c r="H32" t="s">
        <v>190</v>
      </c>
      <c r="J32" t="s">
        <v>236</v>
      </c>
      <c r="K32">
        <v>0.11</v>
      </c>
      <c r="L32">
        <v>-9.49</v>
      </c>
      <c r="M32">
        <v>-2</v>
      </c>
      <c r="N32" t="s">
        <v>192</v>
      </c>
      <c r="O32">
        <v>2</v>
      </c>
      <c r="P32" t="s">
        <v>184</v>
      </c>
      <c r="Q32">
        <v>1</v>
      </c>
      <c r="R32" t="s">
        <v>193</v>
      </c>
      <c r="S32">
        <v>5</v>
      </c>
      <c r="T32" t="s">
        <v>212</v>
      </c>
    </row>
    <row r="33" spans="1:20" x14ac:dyDescent="0.25">
      <c r="A33" t="s">
        <v>197</v>
      </c>
      <c r="B33">
        <v>2.9847E-6</v>
      </c>
      <c r="C33">
        <v>2.6502000000000001E-6</v>
      </c>
      <c r="D33">
        <v>-5.577</v>
      </c>
      <c r="G33">
        <v>16.474</v>
      </c>
      <c r="H33" t="s">
        <v>191</v>
      </c>
      <c r="J33" t="s">
        <v>235</v>
      </c>
      <c r="K33">
        <v>10.247999999999999</v>
      </c>
      <c r="L33">
        <v>-6.8520000000000003</v>
      </c>
      <c r="M33">
        <v>1</v>
      </c>
      <c r="N33" t="s">
        <v>184</v>
      </c>
      <c r="O33">
        <v>2</v>
      </c>
      <c r="P33" t="s">
        <v>212</v>
      </c>
      <c r="Q33">
        <v>-2</v>
      </c>
      <c r="R33" t="s">
        <v>192</v>
      </c>
    </row>
    <row r="34" spans="1:20" x14ac:dyDescent="0.25">
      <c r="A34" t="s">
        <v>196</v>
      </c>
      <c r="B34">
        <v>5.3551000000000005E-10</v>
      </c>
      <c r="C34">
        <v>4.7548999999999998E-10</v>
      </c>
      <c r="D34">
        <v>-9.3230000000000004</v>
      </c>
      <c r="G34">
        <v>0.15</v>
      </c>
      <c r="H34" t="s">
        <v>180</v>
      </c>
      <c r="J34" t="s">
        <v>234</v>
      </c>
      <c r="K34">
        <v>-10.010999999999999</v>
      </c>
      <c r="L34">
        <v>-2.8660000000000001</v>
      </c>
      <c r="M34">
        <v>1</v>
      </c>
      <c r="N34" t="s">
        <v>200</v>
      </c>
      <c r="O34">
        <v>1</v>
      </c>
      <c r="P34" t="s">
        <v>193</v>
      </c>
      <c r="Q34">
        <v>1</v>
      </c>
      <c r="R34" t="s">
        <v>212</v>
      </c>
    </row>
    <row r="35" spans="1:20" x14ac:dyDescent="0.25">
      <c r="A35" t="s">
        <v>195</v>
      </c>
      <c r="B35">
        <v>9.2024000000000002E-6</v>
      </c>
      <c r="C35">
        <v>9.2317000000000001E-6</v>
      </c>
      <c r="D35">
        <v>-5.0350000000000001</v>
      </c>
      <c r="G35">
        <v>0.25</v>
      </c>
      <c r="H35" t="s">
        <v>197</v>
      </c>
      <c r="J35" t="s">
        <v>233</v>
      </c>
      <c r="K35">
        <v>-10.010999999999999</v>
      </c>
      <c r="L35">
        <v>-1.5309999999999999</v>
      </c>
      <c r="M35">
        <v>1</v>
      </c>
      <c r="N35" t="s">
        <v>200</v>
      </c>
      <c r="O35">
        <v>1</v>
      </c>
      <c r="P35" t="s">
        <v>193</v>
      </c>
    </row>
    <row r="36" spans="1:20" x14ac:dyDescent="0.25">
      <c r="A36" t="s">
        <v>194</v>
      </c>
      <c r="B36">
        <v>1.1334E-2</v>
      </c>
      <c r="C36">
        <v>1.0064E-2</v>
      </c>
      <c r="D36">
        <v>-1.9970000000000001</v>
      </c>
      <c r="G36">
        <v>1.2999999999999999E-2</v>
      </c>
      <c r="H36" t="s">
        <v>198</v>
      </c>
      <c r="J36" t="s">
        <v>232</v>
      </c>
      <c r="K36">
        <v>-20.148</v>
      </c>
      <c r="L36">
        <v>-3.6080000000000001</v>
      </c>
      <c r="M36">
        <v>1</v>
      </c>
      <c r="N36" t="s">
        <v>200</v>
      </c>
      <c r="O36">
        <v>1</v>
      </c>
      <c r="P36" t="s">
        <v>184</v>
      </c>
      <c r="Q36">
        <v>2</v>
      </c>
      <c r="R36" t="s">
        <v>193</v>
      </c>
    </row>
    <row r="37" spans="1:20" x14ac:dyDescent="0.25">
      <c r="A37" t="s">
        <v>193</v>
      </c>
      <c r="B37">
        <v>6.6291E-7</v>
      </c>
      <c r="C37">
        <v>4.1204999999999999E-7</v>
      </c>
      <c r="D37">
        <v>-6.3849999999999998</v>
      </c>
      <c r="F37" t="s">
        <v>177</v>
      </c>
      <c r="G37">
        <v>99.424000000000007</v>
      </c>
      <c r="H37" t="s">
        <v>177</v>
      </c>
      <c r="J37" t="s">
        <v>231</v>
      </c>
      <c r="K37">
        <v>-20.148</v>
      </c>
      <c r="L37">
        <v>-3.0579999999999998</v>
      </c>
      <c r="M37">
        <v>1</v>
      </c>
      <c r="N37" t="s">
        <v>200</v>
      </c>
      <c r="O37">
        <v>1</v>
      </c>
      <c r="P37" t="s">
        <v>184</v>
      </c>
      <c r="Q37">
        <v>2</v>
      </c>
      <c r="R37" t="s">
        <v>193</v>
      </c>
    </row>
    <row r="38" spans="1:20" x14ac:dyDescent="0.25">
      <c r="A38" t="s">
        <v>192</v>
      </c>
      <c r="B38">
        <v>1.1262E-7</v>
      </c>
      <c r="C38">
        <v>9.9999999999999995E-8</v>
      </c>
      <c r="D38">
        <v>-7</v>
      </c>
      <c r="G38">
        <v>3.9E-2</v>
      </c>
      <c r="H38" t="s">
        <v>174</v>
      </c>
      <c r="J38" t="s">
        <v>230</v>
      </c>
      <c r="K38">
        <v>-7.5220000000000002</v>
      </c>
      <c r="L38">
        <v>-5.3959999999999999</v>
      </c>
      <c r="M38">
        <v>1</v>
      </c>
      <c r="N38" t="s">
        <v>184</v>
      </c>
      <c r="O38">
        <v>1</v>
      </c>
      <c r="P38" t="s">
        <v>170</v>
      </c>
      <c r="Q38">
        <v>7</v>
      </c>
      <c r="R38" t="s">
        <v>212</v>
      </c>
    </row>
    <row r="39" spans="1:20" x14ac:dyDescent="0.25">
      <c r="A39" t="s">
        <v>191</v>
      </c>
      <c r="B39">
        <v>1.9704999999999999E-4</v>
      </c>
      <c r="C39">
        <v>1.9767E-4</v>
      </c>
      <c r="D39">
        <v>-3.7040000000000002</v>
      </c>
      <c r="G39">
        <v>0.44400000000000001</v>
      </c>
      <c r="H39" t="s">
        <v>176</v>
      </c>
      <c r="J39" t="s">
        <v>229</v>
      </c>
      <c r="K39">
        <v>-7.3949999999999996</v>
      </c>
      <c r="L39">
        <v>-2.7850000000000001</v>
      </c>
      <c r="M39">
        <v>1</v>
      </c>
      <c r="N39" t="s">
        <v>200</v>
      </c>
      <c r="O39">
        <v>1</v>
      </c>
      <c r="P39" t="s">
        <v>170</v>
      </c>
      <c r="Q39">
        <v>2</v>
      </c>
      <c r="R39" t="s">
        <v>212</v>
      </c>
    </row>
    <row r="40" spans="1:20" x14ac:dyDescent="0.25">
      <c r="A40" t="s">
        <v>190</v>
      </c>
      <c r="B40">
        <v>9.8987000000000012E-4</v>
      </c>
      <c r="C40">
        <v>8.7892000000000005E-4</v>
      </c>
      <c r="D40">
        <v>-3.056</v>
      </c>
      <c r="G40">
        <v>9.2999999999999999E-2</v>
      </c>
      <c r="H40" t="s">
        <v>172</v>
      </c>
      <c r="J40" t="s">
        <v>228</v>
      </c>
      <c r="K40">
        <v>-4.1020000000000003</v>
      </c>
      <c r="L40">
        <v>-5.6520000000000001</v>
      </c>
      <c r="M40">
        <v>1</v>
      </c>
      <c r="N40" t="s">
        <v>177</v>
      </c>
      <c r="O40">
        <v>1</v>
      </c>
      <c r="P40" t="s">
        <v>194</v>
      </c>
    </row>
    <row r="41" spans="1:20" x14ac:dyDescent="0.25">
      <c r="A41" t="s">
        <v>189</v>
      </c>
      <c r="B41">
        <v>1.8732000000000001E-9</v>
      </c>
      <c r="C41">
        <v>1.6633E-9</v>
      </c>
      <c r="D41">
        <v>-8.7789999999999999</v>
      </c>
      <c r="F41" t="s">
        <v>188</v>
      </c>
      <c r="G41">
        <v>99.436000000000007</v>
      </c>
      <c r="H41" t="s">
        <v>188</v>
      </c>
      <c r="J41" t="s">
        <v>227</v>
      </c>
      <c r="K41">
        <v>-40.421999999999997</v>
      </c>
      <c r="L41">
        <v>-10.454000000000001</v>
      </c>
      <c r="M41">
        <v>3</v>
      </c>
      <c r="N41" t="s">
        <v>184</v>
      </c>
      <c r="O41">
        <v>1</v>
      </c>
      <c r="P41" t="s">
        <v>200</v>
      </c>
      <c r="Q41">
        <v>4</v>
      </c>
      <c r="R41" t="s">
        <v>193</v>
      </c>
    </row>
    <row r="42" spans="1:20" x14ac:dyDescent="0.25">
      <c r="A42" t="s">
        <v>188</v>
      </c>
      <c r="B42">
        <v>2.6847999999999998E-3</v>
      </c>
      <c r="C42">
        <v>2.3839E-3</v>
      </c>
      <c r="D42">
        <v>-2.6230000000000002</v>
      </c>
      <c r="G42">
        <v>0.44400000000000001</v>
      </c>
      <c r="H42" t="s">
        <v>187</v>
      </c>
      <c r="J42" t="s">
        <v>226</v>
      </c>
      <c r="K42">
        <v>-30.302</v>
      </c>
      <c r="L42">
        <v>-21.536000000000001</v>
      </c>
      <c r="M42">
        <v>5</v>
      </c>
      <c r="N42" t="s">
        <v>184</v>
      </c>
      <c r="O42">
        <v>4</v>
      </c>
      <c r="P42" t="s">
        <v>193</v>
      </c>
      <c r="Q42">
        <v>-2</v>
      </c>
      <c r="R42" t="s">
        <v>192</v>
      </c>
      <c r="S42">
        <v>6</v>
      </c>
      <c r="T42" t="s">
        <v>212</v>
      </c>
    </row>
    <row r="43" spans="1:20" x14ac:dyDescent="0.25">
      <c r="A43" t="s">
        <v>187</v>
      </c>
      <c r="B43">
        <v>1.1985000000000001E-5</v>
      </c>
      <c r="C43">
        <v>1.2024E-5</v>
      </c>
      <c r="D43">
        <v>-4.92</v>
      </c>
      <c r="G43">
        <v>0.12</v>
      </c>
      <c r="H43" t="s">
        <v>185</v>
      </c>
      <c r="J43" t="s">
        <v>225</v>
      </c>
      <c r="K43">
        <v>-4.62</v>
      </c>
      <c r="L43">
        <v>-5.52</v>
      </c>
      <c r="M43">
        <v>1</v>
      </c>
      <c r="N43" t="s">
        <v>188</v>
      </c>
      <c r="O43">
        <v>1</v>
      </c>
      <c r="P43" t="s">
        <v>194</v>
      </c>
    </row>
    <row r="44" spans="1:20" x14ac:dyDescent="0.25">
      <c r="A44" t="s">
        <v>186</v>
      </c>
      <c r="B44">
        <v>4.1564000000000002E-10</v>
      </c>
      <c r="C44">
        <v>4.1697000000000001E-10</v>
      </c>
      <c r="D44">
        <v>-9.3800000000000008</v>
      </c>
      <c r="F44" t="s">
        <v>200</v>
      </c>
      <c r="G44">
        <v>95.227999999999994</v>
      </c>
      <c r="H44" t="s">
        <v>200</v>
      </c>
      <c r="J44" t="s">
        <v>224</v>
      </c>
      <c r="K44">
        <v>10.374000000000001</v>
      </c>
      <c r="L44">
        <v>-22.324999999999999</v>
      </c>
      <c r="M44">
        <v>-2</v>
      </c>
      <c r="N44" t="s">
        <v>192</v>
      </c>
      <c r="O44">
        <v>1</v>
      </c>
      <c r="P44" t="s">
        <v>200</v>
      </c>
      <c r="Q44">
        <v>1</v>
      </c>
      <c r="R44" t="s">
        <v>212</v>
      </c>
    </row>
    <row r="45" spans="1:20" x14ac:dyDescent="0.25">
      <c r="A45" t="s">
        <v>185</v>
      </c>
      <c r="B45">
        <v>3.2349999999999999E-6</v>
      </c>
      <c r="C45">
        <v>2.8724000000000002E-6</v>
      </c>
      <c r="D45">
        <v>-5.5419999999999998</v>
      </c>
      <c r="G45">
        <v>1.6850000000000001</v>
      </c>
      <c r="H45" t="s">
        <v>199</v>
      </c>
      <c r="J45" t="s">
        <v>223</v>
      </c>
      <c r="K45">
        <v>-10.137</v>
      </c>
      <c r="L45">
        <v>-2.677</v>
      </c>
      <c r="M45">
        <v>1</v>
      </c>
      <c r="N45" t="s">
        <v>184</v>
      </c>
      <c r="O45">
        <v>1</v>
      </c>
      <c r="P45" t="s">
        <v>193</v>
      </c>
    </row>
    <row r="46" spans="1:20" x14ac:dyDescent="0.25">
      <c r="A46" t="s">
        <v>184</v>
      </c>
      <c r="B46">
        <v>2.8468999999999999E-4</v>
      </c>
      <c r="C46">
        <v>1.7696000000000001E-4</v>
      </c>
      <c r="D46">
        <v>-3.7519999999999998</v>
      </c>
      <c r="G46">
        <v>2.3010000000000002</v>
      </c>
      <c r="H46" t="s">
        <v>195</v>
      </c>
      <c r="J46" t="s">
        <v>222</v>
      </c>
      <c r="K46">
        <v>10.247999999999999</v>
      </c>
      <c r="L46">
        <v>-8.5459999999999994</v>
      </c>
      <c r="M46">
        <v>1</v>
      </c>
      <c r="N46" t="s">
        <v>184</v>
      </c>
      <c r="O46">
        <v>2</v>
      </c>
      <c r="P46" t="s">
        <v>212</v>
      </c>
      <c r="Q46">
        <v>-2</v>
      </c>
      <c r="R46" t="s">
        <v>192</v>
      </c>
    </row>
    <row r="47" spans="1:20" x14ac:dyDescent="0.25">
      <c r="A47" t="s">
        <v>183</v>
      </c>
      <c r="B47">
        <v>8.0758000000000009E-11</v>
      </c>
      <c r="C47">
        <v>5.0198000000000001E-11</v>
      </c>
      <c r="D47">
        <v>-10.298999999999999</v>
      </c>
      <c r="G47">
        <v>0.746</v>
      </c>
      <c r="H47" t="s">
        <v>197</v>
      </c>
      <c r="J47" t="s">
        <v>221</v>
      </c>
      <c r="K47">
        <v>11.497</v>
      </c>
      <c r="L47">
        <v>-14.503</v>
      </c>
      <c r="M47">
        <v>2</v>
      </c>
      <c r="N47" t="s">
        <v>184</v>
      </c>
      <c r="O47">
        <v>1</v>
      </c>
      <c r="P47" t="s">
        <v>194</v>
      </c>
      <c r="Q47">
        <v>-3</v>
      </c>
      <c r="R47" t="s">
        <v>192</v>
      </c>
      <c r="S47">
        <v>7</v>
      </c>
      <c r="T47" t="s">
        <v>212</v>
      </c>
    </row>
    <row r="48" spans="1:20" x14ac:dyDescent="0.25">
      <c r="A48" t="s">
        <v>182</v>
      </c>
      <c r="B48">
        <v>7.984400000000001E-6</v>
      </c>
      <c r="C48">
        <v>7.0895000000000005E-6</v>
      </c>
      <c r="D48">
        <v>-5.149</v>
      </c>
      <c r="G48">
        <v>0.04</v>
      </c>
      <c r="H48" t="s">
        <v>198</v>
      </c>
      <c r="J48" t="s">
        <v>220</v>
      </c>
      <c r="K48">
        <v>-10.138</v>
      </c>
      <c r="L48">
        <v>-5.5979999999999999</v>
      </c>
      <c r="M48">
        <v>1</v>
      </c>
      <c r="N48" t="s">
        <v>184</v>
      </c>
      <c r="O48">
        <v>1</v>
      </c>
      <c r="P48" t="s">
        <v>193</v>
      </c>
      <c r="Q48">
        <v>5</v>
      </c>
      <c r="R48" t="s">
        <v>212</v>
      </c>
    </row>
    <row r="49" spans="1:18" x14ac:dyDescent="0.25">
      <c r="A49" t="s">
        <v>181</v>
      </c>
      <c r="B49">
        <v>6.0454999999999994E-8</v>
      </c>
      <c r="C49">
        <v>6.0648000000000001E-8</v>
      </c>
      <c r="D49">
        <v>-7.2169999999999996</v>
      </c>
      <c r="F49" t="s">
        <v>184</v>
      </c>
      <c r="G49">
        <v>94.896000000000001</v>
      </c>
      <c r="H49" t="s">
        <v>184</v>
      </c>
      <c r="J49" t="s">
        <v>219</v>
      </c>
      <c r="K49">
        <v>-7.98</v>
      </c>
      <c r="L49">
        <v>-6.8659999999999997</v>
      </c>
      <c r="M49">
        <v>2</v>
      </c>
      <c r="N49" t="s">
        <v>177</v>
      </c>
      <c r="O49">
        <v>1</v>
      </c>
      <c r="P49" t="s">
        <v>170</v>
      </c>
      <c r="Q49">
        <v>10</v>
      </c>
      <c r="R49" t="s">
        <v>212</v>
      </c>
    </row>
    <row r="50" spans="1:18" x14ac:dyDescent="0.25">
      <c r="A50" t="s">
        <v>180</v>
      </c>
      <c r="B50">
        <v>1.7966000000000001E-6</v>
      </c>
      <c r="C50">
        <v>1.5952E-6</v>
      </c>
      <c r="D50">
        <v>-5.7969999999999997</v>
      </c>
      <c r="G50">
        <v>2.661</v>
      </c>
      <c r="H50" t="s">
        <v>182</v>
      </c>
      <c r="J50" t="s">
        <v>218</v>
      </c>
      <c r="K50">
        <v>-10.596</v>
      </c>
      <c r="L50">
        <v>-9.2850000000000001</v>
      </c>
      <c r="M50">
        <v>2</v>
      </c>
      <c r="N50" t="s">
        <v>177</v>
      </c>
      <c r="O50">
        <v>1</v>
      </c>
      <c r="P50" t="s">
        <v>193</v>
      </c>
      <c r="Q50">
        <v>10</v>
      </c>
      <c r="R50" t="s">
        <v>212</v>
      </c>
    </row>
    <row r="51" spans="1:18" x14ac:dyDescent="0.25">
      <c r="A51" t="s">
        <v>179</v>
      </c>
      <c r="B51">
        <v>7.6262000000000008E-9</v>
      </c>
      <c r="C51">
        <v>6.7715000000000004E-9</v>
      </c>
      <c r="D51">
        <v>-8.1690000000000005</v>
      </c>
      <c r="G51">
        <v>1.821</v>
      </c>
      <c r="H51" t="s">
        <v>178</v>
      </c>
      <c r="J51" t="s">
        <v>217</v>
      </c>
      <c r="K51">
        <v>-10.138</v>
      </c>
      <c r="L51">
        <v>-5.468</v>
      </c>
      <c r="M51">
        <v>1</v>
      </c>
      <c r="N51" t="s">
        <v>184</v>
      </c>
      <c r="O51">
        <v>1</v>
      </c>
      <c r="P51" t="s">
        <v>193</v>
      </c>
      <c r="Q51">
        <v>3</v>
      </c>
      <c r="R51" t="s">
        <v>212</v>
      </c>
    </row>
    <row r="52" spans="1:18" x14ac:dyDescent="0.25">
      <c r="A52" t="s">
        <v>178</v>
      </c>
      <c r="B52">
        <v>5.4632000000000005E-6</v>
      </c>
      <c r="C52">
        <v>5.4806000000000005E-6</v>
      </c>
      <c r="D52">
        <v>-5.2610000000000001</v>
      </c>
      <c r="G52">
        <v>0.02</v>
      </c>
      <c r="H52" t="s">
        <v>181</v>
      </c>
      <c r="J52" t="s">
        <v>216</v>
      </c>
      <c r="K52">
        <v>10.247999999999999</v>
      </c>
      <c r="L52">
        <v>-11.336</v>
      </c>
      <c r="M52">
        <v>-2</v>
      </c>
      <c r="N52" t="s">
        <v>192</v>
      </c>
      <c r="O52">
        <v>1</v>
      </c>
      <c r="P52" t="s">
        <v>184</v>
      </c>
      <c r="Q52">
        <v>1</v>
      </c>
      <c r="R52" t="s">
        <v>212</v>
      </c>
    </row>
    <row r="53" spans="1:18" x14ac:dyDescent="0.25">
      <c r="A53" t="s">
        <v>177</v>
      </c>
      <c r="B53">
        <v>8.8486999999999993E-3</v>
      </c>
      <c r="C53">
        <v>7.8569E-3</v>
      </c>
      <c r="D53">
        <v>-2.105</v>
      </c>
      <c r="G53">
        <v>0.59899999999999998</v>
      </c>
      <c r="H53" t="s">
        <v>180</v>
      </c>
      <c r="J53" t="s">
        <v>215</v>
      </c>
      <c r="K53">
        <v>10.374000000000001</v>
      </c>
      <c r="L53">
        <v>-12.33</v>
      </c>
      <c r="M53">
        <v>1</v>
      </c>
      <c r="N53" t="s">
        <v>200</v>
      </c>
      <c r="O53">
        <v>2</v>
      </c>
      <c r="P53" t="s">
        <v>212</v>
      </c>
      <c r="Q53">
        <v>-2</v>
      </c>
      <c r="R53" t="s">
        <v>192</v>
      </c>
    </row>
    <row r="54" spans="1:18" x14ac:dyDescent="0.25">
      <c r="A54" t="s">
        <v>176</v>
      </c>
      <c r="B54">
        <v>3.9502000000000002E-5</v>
      </c>
      <c r="C54">
        <v>3.9628000000000001E-5</v>
      </c>
      <c r="D54">
        <v>-4.4020000000000001</v>
      </c>
      <c r="F54" t="s">
        <v>194</v>
      </c>
      <c r="G54">
        <v>99.418999999999997</v>
      </c>
      <c r="H54" t="s">
        <v>194</v>
      </c>
      <c r="J54" t="s">
        <v>214</v>
      </c>
      <c r="K54">
        <v>-7.9790000000000001</v>
      </c>
      <c r="L54">
        <v>-8.3000000000000007</v>
      </c>
      <c r="M54">
        <v>2</v>
      </c>
      <c r="N54" t="s">
        <v>177</v>
      </c>
      <c r="O54">
        <v>1</v>
      </c>
      <c r="P54" t="s">
        <v>170</v>
      </c>
    </row>
    <row r="55" spans="1:18" x14ac:dyDescent="0.25">
      <c r="A55" t="s">
        <v>175</v>
      </c>
      <c r="B55">
        <v>6.7893999999999999E-8</v>
      </c>
      <c r="C55">
        <v>6.0283999999999999E-8</v>
      </c>
      <c r="D55">
        <v>-7.22</v>
      </c>
      <c r="G55">
        <v>5.8999999999999997E-2</v>
      </c>
      <c r="H55" t="s">
        <v>199</v>
      </c>
      <c r="J55" t="s">
        <v>213</v>
      </c>
      <c r="K55">
        <v>-10.595000000000001</v>
      </c>
      <c r="L55">
        <v>-11.231999999999999</v>
      </c>
      <c r="M55">
        <v>2</v>
      </c>
      <c r="N55" t="s">
        <v>177</v>
      </c>
      <c r="O55">
        <v>1</v>
      </c>
      <c r="P55" t="s">
        <v>193</v>
      </c>
      <c r="Q55">
        <v>1</v>
      </c>
      <c r="R55" t="s">
        <v>212</v>
      </c>
    </row>
    <row r="56" spans="1:18" x14ac:dyDescent="0.25">
      <c r="A56" t="s">
        <v>174</v>
      </c>
      <c r="B56">
        <v>3.45E-6</v>
      </c>
      <c r="C56">
        <v>3.461E-6</v>
      </c>
      <c r="D56">
        <v>-5.4610000000000003</v>
      </c>
      <c r="G56">
        <v>7.0000000000000007E-2</v>
      </c>
      <c r="H56" t="s">
        <v>182</v>
      </c>
      <c r="J56" t="s">
        <v>211</v>
      </c>
      <c r="K56">
        <v>-10.010999999999999</v>
      </c>
      <c r="L56">
        <v>-2.097</v>
      </c>
      <c r="M56">
        <v>1</v>
      </c>
      <c r="N56" t="s">
        <v>200</v>
      </c>
      <c r="O56">
        <v>1</v>
      </c>
      <c r="P56" t="s">
        <v>193</v>
      </c>
    </row>
    <row r="57" spans="1:18" x14ac:dyDescent="0.25">
      <c r="A57" t="s">
        <v>173</v>
      </c>
      <c r="B57">
        <v>9.9241000000000009E-10</v>
      </c>
      <c r="C57">
        <v>9.955699999999999E-10</v>
      </c>
      <c r="D57">
        <v>-9.0020000000000007</v>
      </c>
      <c r="G57">
        <v>0.105</v>
      </c>
      <c r="H57" t="s">
        <v>187</v>
      </c>
    </row>
    <row r="58" spans="1:18" x14ac:dyDescent="0.25">
      <c r="A58" t="s">
        <v>172</v>
      </c>
      <c r="B58">
        <v>8.2764000000000009E-6</v>
      </c>
      <c r="C58">
        <v>7.3488000000000007E-6</v>
      </c>
      <c r="D58">
        <v>-5.1340000000000003</v>
      </c>
      <c r="G58">
        <v>0.34699999999999998</v>
      </c>
      <c r="H58" t="s">
        <v>176</v>
      </c>
    </row>
    <row r="59" spans="1:18" x14ac:dyDescent="0.25">
      <c r="A59" t="s">
        <v>171</v>
      </c>
      <c r="B59">
        <v>1.1335999999999999E-7</v>
      </c>
      <c r="C59">
        <v>1.0064999999999999E-7</v>
      </c>
      <c r="D59">
        <v>-6.9969999999999999</v>
      </c>
      <c r="F59" t="s">
        <v>170</v>
      </c>
      <c r="G59">
        <v>91.274000000000001</v>
      </c>
      <c r="H59" t="s">
        <v>170</v>
      </c>
    </row>
    <row r="60" spans="1:18" x14ac:dyDescent="0.25">
      <c r="A60" t="s">
        <v>170</v>
      </c>
      <c r="B60">
        <v>2.7382000000000003E-4</v>
      </c>
      <c r="C60">
        <v>1.7020000000000002E-4</v>
      </c>
      <c r="D60">
        <v>-3.7690000000000001</v>
      </c>
      <c r="G60">
        <v>1.821</v>
      </c>
      <c r="H60" t="s">
        <v>178</v>
      </c>
    </row>
    <row r="61" spans="1:18" x14ac:dyDescent="0.25">
      <c r="G61">
        <v>3.0670000000000002</v>
      </c>
      <c r="H61" t="s">
        <v>195</v>
      </c>
    </row>
    <row r="62" spans="1:18" x14ac:dyDescent="0.25">
      <c r="G62">
        <v>2.7589999999999999</v>
      </c>
      <c r="H62" t="s">
        <v>172</v>
      </c>
    </row>
    <row r="63" spans="1:18" x14ac:dyDescent="0.25">
      <c r="G63">
        <v>1.0780000000000001</v>
      </c>
      <c r="H63" t="s">
        <v>185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0"/>
  <sheetViews>
    <sheetView workbookViewId="0">
      <selection activeCell="C11" sqref="C11"/>
    </sheetView>
  </sheetViews>
  <sheetFormatPr defaultRowHeight="15.75" x14ac:dyDescent="0.25"/>
  <cols>
    <col min="1" max="1" width="24.375" bestFit="1" customWidth="1"/>
    <col min="2" max="2" width="9.375" bestFit="1" customWidth="1"/>
    <col min="6" max="6" width="15.25" customWidth="1"/>
  </cols>
  <sheetData>
    <row r="1" spans="1:13" x14ac:dyDescent="0.25">
      <c r="A1" t="s">
        <v>25</v>
      </c>
    </row>
    <row r="2" spans="1:13" x14ac:dyDescent="0.25">
      <c r="B2" t="s">
        <v>49</v>
      </c>
      <c r="D2" t="s">
        <v>49</v>
      </c>
      <c r="F2" t="s">
        <v>50</v>
      </c>
      <c r="G2" t="s">
        <v>51</v>
      </c>
      <c r="L2" t="s">
        <v>204</v>
      </c>
      <c r="M2" t="s">
        <v>244</v>
      </c>
    </row>
    <row r="3" spans="1:13" x14ac:dyDescent="0.25">
      <c r="A3" t="s">
        <v>26</v>
      </c>
      <c r="B3" t="s">
        <v>29</v>
      </c>
      <c r="C3" t="s">
        <v>30</v>
      </c>
      <c r="D3" t="s">
        <v>39</v>
      </c>
      <c r="E3" t="s">
        <v>41</v>
      </c>
      <c r="F3" t="s">
        <v>44</v>
      </c>
      <c r="G3" t="s">
        <v>43</v>
      </c>
      <c r="L3" t="s">
        <v>54</v>
      </c>
      <c r="M3">
        <f>(C4+C5*2+C7+C10)*1000</f>
        <v>469</v>
      </c>
    </row>
    <row r="4" spans="1:13" x14ac:dyDescent="0.25">
      <c r="A4" t="s">
        <v>27</v>
      </c>
      <c r="B4" s="2">
        <v>23.9849</v>
      </c>
      <c r="C4" s="1">
        <v>0.41039999999999999</v>
      </c>
      <c r="D4">
        <f t="shared" ref="D4:D10" si="0">B4*$H$17</f>
        <v>24.632492299999999</v>
      </c>
      <c r="E4">
        <f t="shared" ref="E4:E10" si="1">C4*$H$17*1000</f>
        <v>421.48079999999993</v>
      </c>
      <c r="F4">
        <v>58.442799999999998</v>
      </c>
      <c r="G4">
        <f>F4*E4/1000*10</f>
        <v>246.32518098239996</v>
      </c>
      <c r="L4" t="s">
        <v>205</v>
      </c>
      <c r="M4">
        <f>(C6+C8)*1000</f>
        <v>10.210000000000001</v>
      </c>
    </row>
    <row r="5" spans="1:13" x14ac:dyDescent="0.25">
      <c r="A5" t="s">
        <v>48</v>
      </c>
      <c r="B5" s="2">
        <v>4.0110999999999999</v>
      </c>
      <c r="C5" s="1">
        <v>2.8240000000000001E-2</v>
      </c>
      <c r="D5">
        <f t="shared" si="0"/>
        <v>4.1193996999999998</v>
      </c>
      <c r="E5">
        <f t="shared" si="1"/>
        <v>29.002479999999998</v>
      </c>
      <c r="F5">
        <v>322.2</v>
      </c>
      <c r="G5">
        <f t="shared" ref="G5:G14" si="2">F5*E5/1000*10</f>
        <v>93.445990559999998</v>
      </c>
      <c r="L5" t="s">
        <v>245</v>
      </c>
      <c r="M5">
        <f>C9*1000</f>
        <v>0.41</v>
      </c>
    </row>
    <row r="6" spans="1:13" x14ac:dyDescent="0.25">
      <c r="A6" t="s">
        <v>28</v>
      </c>
      <c r="B6" s="2">
        <v>0.6986</v>
      </c>
      <c r="C6" s="1">
        <v>9.3699999999999999E-3</v>
      </c>
      <c r="D6">
        <f t="shared" si="0"/>
        <v>0.71746219999999994</v>
      </c>
      <c r="E6">
        <f t="shared" si="1"/>
        <v>9.6229899999999997</v>
      </c>
      <c r="F6">
        <v>74.555000000000007</v>
      </c>
      <c r="G6">
        <f t="shared" si="2"/>
        <v>7.1744201945000006</v>
      </c>
      <c r="L6" t="s">
        <v>56</v>
      </c>
      <c r="M6">
        <f>C12*1000</f>
        <v>52.82</v>
      </c>
    </row>
    <row r="7" spans="1:13" x14ac:dyDescent="0.25">
      <c r="A7" t="s">
        <v>31</v>
      </c>
      <c r="B7" s="2">
        <v>0.17219999999999999</v>
      </c>
      <c r="C7" s="1">
        <v>2.0500000000000002E-3</v>
      </c>
      <c r="D7">
        <f t="shared" si="0"/>
        <v>0.17684939999999999</v>
      </c>
      <c r="E7">
        <f t="shared" si="1"/>
        <v>2.1053500000000001</v>
      </c>
      <c r="F7">
        <v>84.007000000000005</v>
      </c>
      <c r="G7">
        <f t="shared" si="2"/>
        <v>1.7686413745</v>
      </c>
      <c r="L7" t="s">
        <v>55</v>
      </c>
      <c r="M7">
        <f>C13*1000</f>
        <v>10.28</v>
      </c>
    </row>
    <row r="8" spans="1:13" x14ac:dyDescent="0.25">
      <c r="A8" t="s">
        <v>32</v>
      </c>
      <c r="B8" s="2">
        <v>0.1</v>
      </c>
      <c r="C8" s="1">
        <v>8.4000000000000003E-4</v>
      </c>
      <c r="D8">
        <f t="shared" si="0"/>
        <v>0.1027</v>
      </c>
      <c r="E8">
        <f t="shared" si="1"/>
        <v>0.86268</v>
      </c>
      <c r="F8">
        <v>119.006</v>
      </c>
      <c r="G8">
        <f t="shared" si="2"/>
        <v>1.0266409608</v>
      </c>
      <c r="L8" t="s">
        <v>58</v>
      </c>
      <c r="M8">
        <f>C14*1000</f>
        <v>9.0000000000000011E-2</v>
      </c>
    </row>
    <row r="9" spans="1:13" x14ac:dyDescent="0.25">
      <c r="A9" t="s">
        <v>33</v>
      </c>
      <c r="B9" s="2">
        <v>2.5399999999999999E-2</v>
      </c>
      <c r="C9" s="1">
        <v>4.0999999999999999E-4</v>
      </c>
      <c r="D9">
        <f t="shared" si="0"/>
        <v>2.6085799999999996E-2</v>
      </c>
      <c r="E9">
        <f t="shared" si="1"/>
        <v>0.42106999999999994</v>
      </c>
      <c r="F9">
        <v>61.8322</v>
      </c>
      <c r="G9">
        <f t="shared" si="2"/>
        <v>0.26035684453999997</v>
      </c>
      <c r="L9" t="s">
        <v>59</v>
      </c>
      <c r="M9">
        <f>(C4+C6+2*(SUM(C12:C14)))*1000</f>
        <v>546.15</v>
      </c>
    </row>
    <row r="10" spans="1:13" x14ac:dyDescent="0.25">
      <c r="A10" t="s">
        <v>34</v>
      </c>
      <c r="B10" s="2">
        <v>2.8999999999999998E-3</v>
      </c>
      <c r="C10" s="1">
        <v>6.9999999999999994E-5</v>
      </c>
      <c r="D10">
        <f t="shared" si="0"/>
        <v>2.9782999999999997E-3</v>
      </c>
      <c r="E10">
        <f t="shared" si="1"/>
        <v>7.1889999999999996E-2</v>
      </c>
      <c r="F10">
        <v>41.988199999999999</v>
      </c>
      <c r="G10">
        <f t="shared" si="2"/>
        <v>3.0185316979999998E-2</v>
      </c>
      <c r="L10" t="s">
        <v>61</v>
      </c>
      <c r="M10">
        <f>C5*1000</f>
        <v>28.240000000000002</v>
      </c>
    </row>
    <row r="11" spans="1:13" x14ac:dyDescent="0.25">
      <c r="B11" s="2"/>
      <c r="C11" s="1"/>
      <c r="L11" t="s">
        <v>190</v>
      </c>
      <c r="M11">
        <f>C7*1000</f>
        <v>2.0500000000000003</v>
      </c>
    </row>
    <row r="12" spans="1:13" x14ac:dyDescent="0.25">
      <c r="A12" t="s">
        <v>45</v>
      </c>
      <c r="B12" s="2">
        <v>5.0289999999999999</v>
      </c>
      <c r="C12" s="1">
        <v>5.2819999999999999E-2</v>
      </c>
      <c r="D12">
        <f>B12*$H$17</f>
        <v>5.1647829999999999</v>
      </c>
      <c r="E12">
        <f>C12*$H$17*1000</f>
        <v>54.24613999999999</v>
      </c>
      <c r="F12">
        <v>203.31</v>
      </c>
      <c r="G12">
        <f t="shared" si="2"/>
        <v>110.28782723399998</v>
      </c>
      <c r="L12" t="s">
        <v>246</v>
      </c>
      <c r="M12">
        <f>C10*1000</f>
        <v>6.9999999999999993E-2</v>
      </c>
    </row>
    <row r="13" spans="1:13" x14ac:dyDescent="0.25">
      <c r="A13" t="s">
        <v>46</v>
      </c>
      <c r="B13" s="2">
        <v>1.1409</v>
      </c>
      <c r="C13" s="1">
        <v>1.0279999999999999E-2</v>
      </c>
      <c r="D13">
        <f>B13*$H$17</f>
        <v>1.1717043</v>
      </c>
      <c r="E13">
        <f>C13*$H$17*1000</f>
        <v>10.557559999999999</v>
      </c>
      <c r="F13">
        <f>110.986+2*1.008+15.999</f>
        <v>129.001</v>
      </c>
      <c r="G13">
        <f t="shared" si="2"/>
        <v>13.6193579756</v>
      </c>
      <c r="J13">
        <v>5.28E-2</v>
      </c>
      <c r="K13" t="s">
        <v>35</v>
      </c>
      <c r="L13" t="s">
        <v>60</v>
      </c>
      <c r="M13">
        <f>C8*1000</f>
        <v>0.84000000000000008</v>
      </c>
    </row>
    <row r="14" spans="1:13" x14ac:dyDescent="0.25">
      <c r="A14" t="s">
        <v>47</v>
      </c>
      <c r="B14" s="2">
        <v>1.43E-2</v>
      </c>
      <c r="C14" s="1">
        <v>9.0000000000000006E-5</v>
      </c>
      <c r="D14">
        <f>B14*$H$17</f>
        <v>1.4686099999999999E-2</v>
      </c>
      <c r="E14">
        <f>C14*$H$17*1000</f>
        <v>9.2429999999999998E-2</v>
      </c>
      <c r="F14">
        <v>266.62</v>
      </c>
      <c r="G14">
        <f t="shared" si="2"/>
        <v>0.24643686599999998</v>
      </c>
      <c r="L14" t="s">
        <v>171</v>
      </c>
      <c r="M14">
        <f>C9*1000</f>
        <v>0.41</v>
      </c>
    </row>
    <row r="15" spans="1:13" x14ac:dyDescent="0.25">
      <c r="B15" s="2"/>
      <c r="C15" s="1"/>
    </row>
    <row r="16" spans="1:13" x14ac:dyDescent="0.25">
      <c r="A16" t="s">
        <v>36</v>
      </c>
      <c r="B16" s="2">
        <f>SUM(B4:B14)</f>
        <v>35.179300000000005</v>
      </c>
      <c r="C16" s="1">
        <f>SUM(C4:C14)</f>
        <v>0.51456999999999997</v>
      </c>
      <c r="D16">
        <f>SUM(D4:D14)</f>
        <v>36.129141099999991</v>
      </c>
      <c r="E16">
        <f>SUM(E4:E14)</f>
        <v>528.46338999999989</v>
      </c>
      <c r="H16" t="s">
        <v>42</v>
      </c>
    </row>
    <row r="17" spans="1:20" x14ac:dyDescent="0.25">
      <c r="A17" t="s">
        <v>37</v>
      </c>
      <c r="B17" s="2">
        <f>1000-B16</f>
        <v>964.82069999999999</v>
      </c>
      <c r="C17" s="1"/>
      <c r="D17">
        <f>B17*H17</f>
        <v>990.87085889999992</v>
      </c>
      <c r="H17">
        <v>1.0269999999999999</v>
      </c>
      <c r="I17" t="s">
        <v>38</v>
      </c>
    </row>
    <row r="18" spans="1:20" x14ac:dyDescent="0.25">
      <c r="B18" s="2"/>
      <c r="C18" s="1"/>
      <c r="H18">
        <f>1/H17</f>
        <v>0.97370983446932824</v>
      </c>
      <c r="I18" t="s">
        <v>40</v>
      </c>
    </row>
    <row r="20" spans="1:20" x14ac:dyDescent="0.25">
      <c r="A20" t="s">
        <v>247</v>
      </c>
      <c r="F20" t="s">
        <v>276</v>
      </c>
      <c r="J20" t="s">
        <v>243</v>
      </c>
    </row>
    <row r="21" spans="1:20" x14ac:dyDescent="0.25">
      <c r="B21" t="s">
        <v>203</v>
      </c>
      <c r="C21" t="s">
        <v>202</v>
      </c>
      <c r="D21" t="s">
        <v>201</v>
      </c>
      <c r="F21" t="s">
        <v>210</v>
      </c>
      <c r="G21" t="s">
        <v>209</v>
      </c>
      <c r="H21" t="s">
        <v>208</v>
      </c>
      <c r="J21" t="s">
        <v>242</v>
      </c>
      <c r="K21" t="s">
        <v>241</v>
      </c>
      <c r="L21" t="s">
        <v>240</v>
      </c>
      <c r="M21" t="s">
        <v>239</v>
      </c>
    </row>
    <row r="22" spans="1:20" x14ac:dyDescent="0.25">
      <c r="A22" t="s">
        <v>275</v>
      </c>
      <c r="B22">
        <v>6.6083E-9</v>
      </c>
      <c r="C22">
        <v>4.8693000000000001E-9</v>
      </c>
      <c r="D22">
        <v>-8.3130000000000006</v>
      </c>
      <c r="F22" t="s">
        <v>193</v>
      </c>
      <c r="G22">
        <v>8.5999999999999993E-2</v>
      </c>
      <c r="H22" t="s">
        <v>193</v>
      </c>
      <c r="J22" t="s">
        <v>238</v>
      </c>
      <c r="K22">
        <v>-5.1449999999999996</v>
      </c>
      <c r="L22">
        <v>-0.78500000000000003</v>
      </c>
      <c r="M22">
        <v>1</v>
      </c>
      <c r="N22" t="s">
        <v>200</v>
      </c>
      <c r="O22">
        <v>1</v>
      </c>
      <c r="P22" t="s">
        <v>170</v>
      </c>
    </row>
    <row r="23" spans="1:20" x14ac:dyDescent="0.25">
      <c r="A23" t="s">
        <v>274</v>
      </c>
      <c r="B23">
        <v>1.9111999999999998E-12</v>
      </c>
      <c r="C23">
        <v>1.4083E-12</v>
      </c>
      <c r="D23">
        <v>-11.851000000000001</v>
      </c>
      <c r="G23">
        <v>73.111999999999995</v>
      </c>
      <c r="H23" t="s">
        <v>190</v>
      </c>
      <c r="J23" t="s">
        <v>237</v>
      </c>
      <c r="K23">
        <v>-8.8800000000000008</v>
      </c>
      <c r="L23">
        <v>-0.54300000000000004</v>
      </c>
      <c r="M23">
        <v>1</v>
      </c>
      <c r="N23" t="s">
        <v>200</v>
      </c>
      <c r="O23">
        <v>1</v>
      </c>
      <c r="P23" t="s">
        <v>193</v>
      </c>
    </row>
    <row r="24" spans="1:20" x14ac:dyDescent="0.25">
      <c r="A24" t="s">
        <v>273</v>
      </c>
      <c r="B24">
        <v>2.0115E-18</v>
      </c>
      <c r="C24">
        <v>1.4822000000000001E-18</v>
      </c>
      <c r="D24">
        <v>-17.829000000000001</v>
      </c>
      <c r="G24">
        <v>10.638</v>
      </c>
      <c r="H24" t="s">
        <v>191</v>
      </c>
      <c r="J24" t="s">
        <v>236</v>
      </c>
      <c r="K24">
        <v>3.698</v>
      </c>
      <c r="L24">
        <v>-5.9020000000000001</v>
      </c>
      <c r="M24">
        <v>-2</v>
      </c>
      <c r="N24" t="s">
        <v>192</v>
      </c>
      <c r="O24">
        <v>2</v>
      </c>
      <c r="P24" t="s">
        <v>184</v>
      </c>
      <c r="Q24">
        <v>1</v>
      </c>
      <c r="R24" t="s">
        <v>193</v>
      </c>
      <c r="S24">
        <v>5</v>
      </c>
      <c r="T24" t="s">
        <v>212</v>
      </c>
    </row>
    <row r="25" spans="1:20" x14ac:dyDescent="0.25">
      <c r="A25" t="s">
        <v>272</v>
      </c>
      <c r="B25">
        <v>2.6775000000000002E-23</v>
      </c>
      <c r="C25">
        <v>1.9729E-23</v>
      </c>
      <c r="D25">
        <v>-22.704999999999998</v>
      </c>
      <c r="G25">
        <v>0.16500000000000001</v>
      </c>
      <c r="H25" t="s">
        <v>181</v>
      </c>
      <c r="J25" t="s">
        <v>235</v>
      </c>
      <c r="K25">
        <v>11.933999999999999</v>
      </c>
      <c r="L25">
        <v>-5.1660000000000004</v>
      </c>
      <c r="M25">
        <v>1</v>
      </c>
      <c r="N25" t="s">
        <v>184</v>
      </c>
      <c r="O25">
        <v>2</v>
      </c>
      <c r="P25" t="s">
        <v>212</v>
      </c>
      <c r="Q25">
        <v>-2</v>
      </c>
      <c r="R25" t="s">
        <v>192</v>
      </c>
    </row>
    <row r="26" spans="1:20" x14ac:dyDescent="0.25">
      <c r="A26" t="s">
        <v>271</v>
      </c>
      <c r="B26">
        <v>8.4000000000000003E-4</v>
      </c>
      <c r="C26">
        <v>6.1895000000000006E-4</v>
      </c>
      <c r="D26">
        <v>-3.2080000000000002</v>
      </c>
      <c r="G26">
        <v>6.69</v>
      </c>
      <c r="H26" t="s">
        <v>180</v>
      </c>
      <c r="J26" t="s">
        <v>234</v>
      </c>
      <c r="K26">
        <v>-8.8879999999999999</v>
      </c>
      <c r="L26">
        <v>-1.744</v>
      </c>
      <c r="M26">
        <v>1</v>
      </c>
      <c r="N26" t="s">
        <v>200</v>
      </c>
      <c r="O26">
        <v>1</v>
      </c>
      <c r="P26" t="s">
        <v>193</v>
      </c>
      <c r="Q26">
        <v>1</v>
      </c>
      <c r="R26" t="s">
        <v>212</v>
      </c>
    </row>
    <row r="27" spans="1:20" x14ac:dyDescent="0.25">
      <c r="A27" t="s">
        <v>200</v>
      </c>
      <c r="B27">
        <v>6.4878999999999996E-3</v>
      </c>
      <c r="C27">
        <v>1.9124999999999999E-3</v>
      </c>
      <c r="D27">
        <v>-2.718</v>
      </c>
      <c r="G27">
        <v>1.7809999999999999</v>
      </c>
      <c r="H27" t="s">
        <v>197</v>
      </c>
      <c r="J27" t="s">
        <v>233</v>
      </c>
      <c r="K27">
        <v>-8.8800000000000008</v>
      </c>
      <c r="L27">
        <v>-0.4</v>
      </c>
      <c r="M27">
        <v>1</v>
      </c>
      <c r="N27" t="s">
        <v>200</v>
      </c>
      <c r="O27">
        <v>1</v>
      </c>
      <c r="P27" t="s">
        <v>193</v>
      </c>
    </row>
    <row r="28" spans="1:20" x14ac:dyDescent="0.25">
      <c r="A28" t="s">
        <v>199</v>
      </c>
      <c r="B28">
        <v>2.2991999999999999E-3</v>
      </c>
      <c r="C28">
        <v>1.6940999999999998E-3</v>
      </c>
      <c r="D28">
        <v>-2.7709999999999999</v>
      </c>
      <c r="G28">
        <v>7.0000000000000007E-2</v>
      </c>
      <c r="H28" t="s">
        <v>198</v>
      </c>
      <c r="J28" t="s">
        <v>282</v>
      </c>
      <c r="K28">
        <v>-7.1559999999999997</v>
      </c>
      <c r="L28">
        <v>-0.53600000000000003</v>
      </c>
      <c r="M28">
        <v>1</v>
      </c>
      <c r="N28" t="s">
        <v>255</v>
      </c>
      <c r="O28">
        <v>1</v>
      </c>
      <c r="P28" t="s">
        <v>170</v>
      </c>
    </row>
    <row r="29" spans="1:20" x14ac:dyDescent="0.25">
      <c r="A29" t="s">
        <v>198</v>
      </c>
      <c r="B29">
        <v>1.9226E-6</v>
      </c>
      <c r="C29">
        <v>2.1897E-6</v>
      </c>
      <c r="D29">
        <v>-5.66</v>
      </c>
      <c r="G29">
        <v>2.1999999999999999E-2</v>
      </c>
      <c r="H29" t="s">
        <v>250</v>
      </c>
      <c r="J29" t="s">
        <v>232</v>
      </c>
      <c r="K29">
        <v>-17.09</v>
      </c>
      <c r="L29">
        <v>-0.55000000000000004</v>
      </c>
      <c r="M29">
        <v>1</v>
      </c>
      <c r="N29" t="s">
        <v>200</v>
      </c>
      <c r="O29">
        <v>1</v>
      </c>
      <c r="P29" t="s">
        <v>184</v>
      </c>
      <c r="Q29">
        <v>2</v>
      </c>
      <c r="R29" t="s">
        <v>193</v>
      </c>
    </row>
    <row r="30" spans="1:20" x14ac:dyDescent="0.25">
      <c r="A30" t="s">
        <v>270</v>
      </c>
      <c r="B30">
        <v>9.508399999999999E-7</v>
      </c>
      <c r="C30">
        <v>7.0061999999999993E-7</v>
      </c>
      <c r="D30">
        <v>-6.1550000000000002</v>
      </c>
      <c r="G30">
        <v>0.19400000000000001</v>
      </c>
      <c r="H30" t="s">
        <v>175</v>
      </c>
      <c r="J30" t="s">
        <v>231</v>
      </c>
      <c r="K30">
        <v>-17.09</v>
      </c>
      <c r="L30">
        <v>0</v>
      </c>
      <c r="M30">
        <v>1</v>
      </c>
      <c r="N30" t="s">
        <v>200</v>
      </c>
      <c r="O30">
        <v>1</v>
      </c>
      <c r="P30" t="s">
        <v>184</v>
      </c>
      <c r="Q30">
        <v>2</v>
      </c>
      <c r="R30" t="s">
        <v>193</v>
      </c>
    </row>
    <row r="31" spans="1:20" x14ac:dyDescent="0.25">
      <c r="A31" t="s">
        <v>269</v>
      </c>
      <c r="B31">
        <v>3.9520999999999995E-7</v>
      </c>
      <c r="C31">
        <v>2.9120999999999997E-7</v>
      </c>
      <c r="D31">
        <v>-6.5359999999999996</v>
      </c>
      <c r="G31">
        <v>7.2149999999999999</v>
      </c>
      <c r="H31" t="s">
        <v>174</v>
      </c>
      <c r="J31" t="s">
        <v>230</v>
      </c>
      <c r="K31">
        <v>-4.5339999999999998</v>
      </c>
      <c r="L31">
        <v>-2.4079999999999999</v>
      </c>
      <c r="M31">
        <v>1</v>
      </c>
      <c r="N31" t="s">
        <v>184</v>
      </c>
      <c r="O31">
        <v>1</v>
      </c>
      <c r="P31" t="s">
        <v>170</v>
      </c>
      <c r="Q31">
        <v>7</v>
      </c>
      <c r="R31" t="s">
        <v>212</v>
      </c>
    </row>
    <row r="32" spans="1:20" x14ac:dyDescent="0.25">
      <c r="A32" t="s">
        <v>197</v>
      </c>
      <c r="B32">
        <v>4.8642000000000006E-5</v>
      </c>
      <c r="C32">
        <v>3.5841000000000005E-5</v>
      </c>
      <c r="D32">
        <v>-4.4459999999999997</v>
      </c>
      <c r="G32">
        <v>2.7E-2</v>
      </c>
      <c r="H32" t="s">
        <v>183</v>
      </c>
      <c r="J32" t="s">
        <v>281</v>
      </c>
      <c r="K32">
        <v>-11.871</v>
      </c>
      <c r="L32">
        <v>-1.371</v>
      </c>
      <c r="M32">
        <v>1</v>
      </c>
      <c r="N32" t="s">
        <v>200</v>
      </c>
      <c r="O32">
        <v>2</v>
      </c>
      <c r="P32" t="s">
        <v>268</v>
      </c>
    </row>
    <row r="33" spans="1:20" x14ac:dyDescent="0.25">
      <c r="A33" t="s">
        <v>196</v>
      </c>
      <c r="B33">
        <v>5.1155000000000004E-9</v>
      </c>
      <c r="C33">
        <v>3.7693999999999998E-9</v>
      </c>
      <c r="D33">
        <v>-8.4239999999999995</v>
      </c>
      <c r="F33" t="s">
        <v>177</v>
      </c>
      <c r="G33">
        <v>88.072000000000003</v>
      </c>
      <c r="H33" t="s">
        <v>177</v>
      </c>
      <c r="J33" t="s">
        <v>229</v>
      </c>
      <c r="K33">
        <v>-5.1619999999999999</v>
      </c>
      <c r="L33">
        <v>-0.55200000000000005</v>
      </c>
      <c r="M33">
        <v>1</v>
      </c>
      <c r="N33" t="s">
        <v>200</v>
      </c>
      <c r="O33">
        <v>1</v>
      </c>
      <c r="P33" t="s">
        <v>170</v>
      </c>
      <c r="Q33">
        <v>2</v>
      </c>
      <c r="R33" t="s">
        <v>212</v>
      </c>
    </row>
    <row r="34" spans="1:20" x14ac:dyDescent="0.25">
      <c r="A34" t="s">
        <v>195</v>
      </c>
      <c r="B34">
        <v>1.441E-3</v>
      </c>
      <c r="C34">
        <v>1.6412E-3</v>
      </c>
      <c r="D34">
        <v>-2.7850000000000001</v>
      </c>
      <c r="G34">
        <v>10.071</v>
      </c>
      <c r="H34" t="s">
        <v>176</v>
      </c>
      <c r="J34" t="s">
        <v>228</v>
      </c>
      <c r="K34">
        <v>-0.96899999999999997</v>
      </c>
      <c r="L34">
        <v>-2.5190000000000001</v>
      </c>
      <c r="M34">
        <v>1</v>
      </c>
      <c r="N34" t="s">
        <v>177</v>
      </c>
      <c r="O34">
        <v>1</v>
      </c>
      <c r="P34" t="s">
        <v>194</v>
      </c>
    </row>
    <row r="35" spans="1:20" x14ac:dyDescent="0.25">
      <c r="A35" t="s">
        <v>194</v>
      </c>
      <c r="B35">
        <v>0.47858000000000006</v>
      </c>
      <c r="C35">
        <v>0.35264000000000001</v>
      </c>
      <c r="D35">
        <v>-0.45300000000000001</v>
      </c>
      <c r="G35">
        <v>1.8129999999999999</v>
      </c>
      <c r="H35" t="s">
        <v>172</v>
      </c>
      <c r="J35" t="s">
        <v>227</v>
      </c>
      <c r="K35">
        <v>-33.512</v>
      </c>
      <c r="L35">
        <v>-3.544</v>
      </c>
      <c r="M35">
        <v>3</v>
      </c>
      <c r="N35" t="s">
        <v>184</v>
      </c>
      <c r="O35">
        <v>1</v>
      </c>
      <c r="P35" t="s">
        <v>200</v>
      </c>
      <c r="Q35">
        <v>4</v>
      </c>
      <c r="R35" t="s">
        <v>193</v>
      </c>
    </row>
    <row r="36" spans="1:20" x14ac:dyDescent="0.25">
      <c r="A36" t="s">
        <v>193</v>
      </c>
      <c r="B36">
        <v>2.3403000000000003E-6</v>
      </c>
      <c r="C36">
        <v>6.8987999999999993E-7</v>
      </c>
      <c r="D36">
        <v>-6.1609999999999996</v>
      </c>
      <c r="G36">
        <v>4.2000000000000003E-2</v>
      </c>
      <c r="H36" t="s">
        <v>174</v>
      </c>
      <c r="J36" t="s">
        <v>226</v>
      </c>
      <c r="K36">
        <v>-20.943000000000001</v>
      </c>
      <c r="L36">
        <v>-12.177</v>
      </c>
      <c r="M36">
        <v>5</v>
      </c>
      <c r="N36" t="s">
        <v>184</v>
      </c>
      <c r="O36">
        <v>4</v>
      </c>
      <c r="P36" t="s">
        <v>193</v>
      </c>
      <c r="Q36">
        <v>-2</v>
      </c>
      <c r="R36" t="s">
        <v>192</v>
      </c>
      <c r="S36">
        <v>6</v>
      </c>
      <c r="T36" t="s">
        <v>212</v>
      </c>
    </row>
    <row r="37" spans="1:20" x14ac:dyDescent="0.25">
      <c r="A37" t="s">
        <v>268</v>
      </c>
      <c r="B37">
        <v>3.6016000000000002E-5</v>
      </c>
      <c r="C37">
        <v>2.6538000000000002E-5</v>
      </c>
      <c r="D37">
        <v>-4.5759999999999996</v>
      </c>
      <c r="F37" t="s">
        <v>188</v>
      </c>
      <c r="G37">
        <v>87.652000000000001</v>
      </c>
      <c r="H37" t="s">
        <v>188</v>
      </c>
      <c r="J37" t="s">
        <v>225</v>
      </c>
      <c r="K37">
        <v>-2.6339999999999999</v>
      </c>
      <c r="L37">
        <v>-3.5339999999999998</v>
      </c>
      <c r="M37">
        <v>1</v>
      </c>
      <c r="N37" t="s">
        <v>188</v>
      </c>
      <c r="O37">
        <v>1</v>
      </c>
      <c r="P37" t="s">
        <v>194</v>
      </c>
    </row>
    <row r="38" spans="1:20" x14ac:dyDescent="0.25">
      <c r="A38" t="s">
        <v>192</v>
      </c>
      <c r="B38">
        <v>1.3570999999999999E-7</v>
      </c>
      <c r="C38">
        <v>9.9999999999999995E-8</v>
      </c>
      <c r="D38">
        <v>-7</v>
      </c>
      <c r="G38">
        <v>10.023</v>
      </c>
      <c r="H38" t="s">
        <v>187</v>
      </c>
      <c r="J38" t="s">
        <v>224</v>
      </c>
      <c r="K38">
        <v>11.273</v>
      </c>
      <c r="L38">
        <v>-21.425999999999998</v>
      </c>
      <c r="M38">
        <v>-2</v>
      </c>
      <c r="N38" t="s">
        <v>192</v>
      </c>
      <c r="O38">
        <v>1</v>
      </c>
      <c r="P38" t="s">
        <v>200</v>
      </c>
      <c r="Q38">
        <v>1</v>
      </c>
      <c r="R38" t="s">
        <v>212</v>
      </c>
    </row>
    <row r="39" spans="1:20" x14ac:dyDescent="0.25">
      <c r="A39" t="s">
        <v>267</v>
      </c>
      <c r="B39">
        <v>1.4089000000000002E-14</v>
      </c>
      <c r="C39">
        <v>4.1530999999999996E-15</v>
      </c>
      <c r="D39">
        <v>-14.382</v>
      </c>
      <c r="G39">
        <v>2.3239999999999998</v>
      </c>
      <c r="H39" t="s">
        <v>185</v>
      </c>
      <c r="J39" t="s">
        <v>223</v>
      </c>
      <c r="K39">
        <v>-8.2110000000000003</v>
      </c>
      <c r="L39">
        <v>-0.751</v>
      </c>
      <c r="M39">
        <v>1</v>
      </c>
      <c r="N39" t="s">
        <v>184</v>
      </c>
      <c r="O39">
        <v>1</v>
      </c>
      <c r="P39" t="s">
        <v>193</v>
      </c>
    </row>
    <row r="40" spans="1:20" x14ac:dyDescent="0.25">
      <c r="A40" t="s">
        <v>266</v>
      </c>
      <c r="B40">
        <v>3.6242E-6</v>
      </c>
      <c r="C40">
        <v>2.6705000000000001E-6</v>
      </c>
      <c r="D40">
        <v>-5.5730000000000004</v>
      </c>
      <c r="F40" t="s">
        <v>265</v>
      </c>
      <c r="G40">
        <v>98.471999999999994</v>
      </c>
      <c r="H40" t="s">
        <v>265</v>
      </c>
      <c r="J40" t="s">
        <v>222</v>
      </c>
      <c r="K40">
        <v>11.933999999999999</v>
      </c>
      <c r="L40">
        <v>-6.86</v>
      </c>
      <c r="M40">
        <v>1</v>
      </c>
      <c r="N40" t="s">
        <v>184</v>
      </c>
      <c r="O40">
        <v>2</v>
      </c>
      <c r="P40" t="s">
        <v>212</v>
      </c>
      <c r="Q40">
        <v>-2</v>
      </c>
      <c r="R40" t="s">
        <v>192</v>
      </c>
    </row>
    <row r="41" spans="1:20" x14ac:dyDescent="0.25">
      <c r="A41" t="s">
        <v>191</v>
      </c>
      <c r="B41">
        <v>2.9059000000000002E-4</v>
      </c>
      <c r="C41">
        <v>3.3095999999999999E-4</v>
      </c>
      <c r="D41">
        <v>-3.48</v>
      </c>
      <c r="G41">
        <v>0.27300000000000002</v>
      </c>
      <c r="H41" t="s">
        <v>256</v>
      </c>
      <c r="J41" t="s">
        <v>221</v>
      </c>
      <c r="K41">
        <v>16.39</v>
      </c>
      <c r="L41">
        <v>-9.61</v>
      </c>
      <c r="M41">
        <v>2</v>
      </c>
      <c r="N41" t="s">
        <v>184</v>
      </c>
      <c r="O41">
        <v>1</v>
      </c>
      <c r="P41" t="s">
        <v>194</v>
      </c>
      <c r="Q41">
        <v>-3</v>
      </c>
      <c r="R41" t="s">
        <v>192</v>
      </c>
      <c r="S41">
        <v>7</v>
      </c>
      <c r="T41" t="s">
        <v>212</v>
      </c>
    </row>
    <row r="42" spans="1:20" x14ac:dyDescent="0.25">
      <c r="A42" t="s">
        <v>265</v>
      </c>
      <c r="B42">
        <v>4.0374000000000003E-4</v>
      </c>
      <c r="C42">
        <v>4.5982999999999999E-4</v>
      </c>
      <c r="D42">
        <v>-3.3370000000000002</v>
      </c>
      <c r="G42">
        <v>0.88400000000000001</v>
      </c>
      <c r="H42" t="s">
        <v>266</v>
      </c>
      <c r="J42" t="s">
        <v>220</v>
      </c>
      <c r="K42">
        <v>-8.2520000000000007</v>
      </c>
      <c r="L42">
        <v>-3.7120000000000002</v>
      </c>
      <c r="M42">
        <v>1</v>
      </c>
      <c r="N42" t="s">
        <v>184</v>
      </c>
      <c r="O42">
        <v>1</v>
      </c>
      <c r="P42" t="s">
        <v>193</v>
      </c>
      <c r="Q42">
        <v>5</v>
      </c>
      <c r="R42" t="s">
        <v>212</v>
      </c>
    </row>
    <row r="43" spans="1:20" x14ac:dyDescent="0.25">
      <c r="A43" t="s">
        <v>264</v>
      </c>
      <c r="B43">
        <v>1.4184E-9</v>
      </c>
      <c r="C43">
        <v>1.0452000000000001E-9</v>
      </c>
      <c r="D43">
        <v>-8.9809999999999999</v>
      </c>
      <c r="G43">
        <v>0.27100000000000002</v>
      </c>
      <c r="H43" t="s">
        <v>258</v>
      </c>
      <c r="J43" t="s">
        <v>280</v>
      </c>
      <c r="K43">
        <v>-11.202</v>
      </c>
      <c r="L43">
        <v>-3.0920000000000001</v>
      </c>
      <c r="M43">
        <v>1</v>
      </c>
      <c r="N43" t="s">
        <v>184</v>
      </c>
      <c r="O43">
        <v>2</v>
      </c>
      <c r="P43" t="s">
        <v>268</v>
      </c>
    </row>
    <row r="44" spans="1:20" x14ac:dyDescent="0.25">
      <c r="A44" t="s">
        <v>263</v>
      </c>
      <c r="B44">
        <v>6.5224000000000004E-11</v>
      </c>
      <c r="C44">
        <v>4.8060000000000006E-11</v>
      </c>
      <c r="D44">
        <v>-10.318</v>
      </c>
      <c r="G44">
        <v>9.6000000000000002E-2</v>
      </c>
      <c r="H44" t="s">
        <v>269</v>
      </c>
      <c r="J44" t="s">
        <v>219</v>
      </c>
      <c r="K44">
        <v>-3.5430000000000001</v>
      </c>
      <c r="L44">
        <v>-2.4289999999999998</v>
      </c>
      <c r="M44">
        <v>2</v>
      </c>
      <c r="N44" t="s">
        <v>177</v>
      </c>
      <c r="O44">
        <v>1</v>
      </c>
      <c r="P44" t="s">
        <v>170</v>
      </c>
      <c r="Q44">
        <v>10</v>
      </c>
      <c r="R44" t="s">
        <v>212</v>
      </c>
    </row>
    <row r="45" spans="1:20" x14ac:dyDescent="0.25">
      <c r="A45" t="s">
        <v>190</v>
      </c>
      <c r="B45">
        <v>1.9970999999999999E-3</v>
      </c>
      <c r="C45">
        <v>1.4716E-3</v>
      </c>
      <c r="D45">
        <v>-2.8319999999999999</v>
      </c>
      <c r="F45" t="s">
        <v>184</v>
      </c>
      <c r="G45">
        <v>57.3</v>
      </c>
      <c r="H45" t="s">
        <v>184</v>
      </c>
      <c r="J45" t="s">
        <v>279</v>
      </c>
      <c r="K45">
        <v>-5.093</v>
      </c>
      <c r="L45">
        <v>-4.6029999999999998</v>
      </c>
      <c r="M45">
        <v>1</v>
      </c>
      <c r="N45" t="s">
        <v>177</v>
      </c>
      <c r="O45">
        <v>1</v>
      </c>
      <c r="P45" t="s">
        <v>268</v>
      </c>
    </row>
    <row r="46" spans="1:20" x14ac:dyDescent="0.25">
      <c r="A46" t="s">
        <v>262</v>
      </c>
      <c r="B46">
        <v>3.5268000000000003E-9</v>
      </c>
      <c r="C46">
        <v>4.0167E-9</v>
      </c>
      <c r="D46">
        <v>-8.3960000000000008</v>
      </c>
      <c r="G46">
        <v>4.8000000000000001E-2</v>
      </c>
      <c r="H46" t="s">
        <v>259</v>
      </c>
      <c r="J46" t="s">
        <v>218</v>
      </c>
      <c r="K46">
        <v>-7.2779999999999996</v>
      </c>
      <c r="L46">
        <v>-5.9669999999999996</v>
      </c>
      <c r="M46">
        <v>2</v>
      </c>
      <c r="N46" t="s">
        <v>177</v>
      </c>
      <c r="O46">
        <v>1</v>
      </c>
      <c r="P46" t="s">
        <v>193</v>
      </c>
      <c r="Q46">
        <v>10</v>
      </c>
      <c r="R46" t="s">
        <v>212</v>
      </c>
    </row>
    <row r="47" spans="1:20" x14ac:dyDescent="0.25">
      <c r="A47" t="s">
        <v>261</v>
      </c>
      <c r="B47">
        <v>5.7593000000000005E-13</v>
      </c>
      <c r="C47">
        <v>4.2437000000000004E-13</v>
      </c>
      <c r="D47">
        <v>-12.372</v>
      </c>
      <c r="G47">
        <v>32.182000000000002</v>
      </c>
      <c r="H47" t="s">
        <v>182</v>
      </c>
      <c r="J47" t="s">
        <v>217</v>
      </c>
      <c r="K47">
        <v>-8.2360000000000007</v>
      </c>
      <c r="L47">
        <v>-3.5659999999999998</v>
      </c>
      <c r="M47">
        <v>1</v>
      </c>
      <c r="N47" t="s">
        <v>184</v>
      </c>
      <c r="O47">
        <v>1</v>
      </c>
      <c r="P47" t="s">
        <v>193</v>
      </c>
      <c r="Q47">
        <v>3</v>
      </c>
      <c r="R47" t="s">
        <v>212</v>
      </c>
    </row>
    <row r="48" spans="1:20" x14ac:dyDescent="0.25">
      <c r="A48" t="s">
        <v>189</v>
      </c>
      <c r="B48">
        <v>4.9678999999999998E-8</v>
      </c>
      <c r="C48">
        <v>3.6605999999999997E-8</v>
      </c>
      <c r="D48">
        <v>-7.4359999999999999</v>
      </c>
      <c r="G48">
        <v>10.109</v>
      </c>
      <c r="H48" t="s">
        <v>178</v>
      </c>
      <c r="J48" t="s">
        <v>216</v>
      </c>
      <c r="K48">
        <v>11.942</v>
      </c>
      <c r="L48">
        <v>-9.6419999999999995</v>
      </c>
      <c r="M48">
        <v>-2</v>
      </c>
      <c r="N48" t="s">
        <v>192</v>
      </c>
      <c r="O48">
        <v>1</v>
      </c>
      <c r="P48" t="s">
        <v>184</v>
      </c>
      <c r="Q48">
        <v>1</v>
      </c>
      <c r="R48" t="s">
        <v>212</v>
      </c>
    </row>
    <row r="49" spans="1:18" x14ac:dyDescent="0.25">
      <c r="A49" t="s">
        <v>188</v>
      </c>
      <c r="B49">
        <v>8.9493000000000003E-3</v>
      </c>
      <c r="C49">
        <v>6.5941999999999997E-3</v>
      </c>
      <c r="D49">
        <v>-2.181</v>
      </c>
      <c r="G49">
        <v>0.34599999999999997</v>
      </c>
      <c r="H49" t="s">
        <v>180</v>
      </c>
      <c r="J49" t="s">
        <v>215</v>
      </c>
      <c r="K49">
        <v>11.265000000000001</v>
      </c>
      <c r="L49">
        <v>-11.439</v>
      </c>
      <c r="M49">
        <v>1</v>
      </c>
      <c r="N49" t="s">
        <v>200</v>
      </c>
      <c r="O49">
        <v>2</v>
      </c>
      <c r="P49" t="s">
        <v>212</v>
      </c>
      <c r="Q49">
        <v>-2</v>
      </c>
      <c r="R49" t="s">
        <v>192</v>
      </c>
    </row>
    <row r="50" spans="1:18" x14ac:dyDescent="0.25">
      <c r="A50" t="s">
        <v>187</v>
      </c>
      <c r="B50">
        <v>1.0233E-3</v>
      </c>
      <c r="C50">
        <v>1.1654999999999999E-3</v>
      </c>
      <c r="D50">
        <v>-2.9340000000000002</v>
      </c>
      <c r="F50" t="s">
        <v>200</v>
      </c>
      <c r="G50">
        <v>63.112000000000002</v>
      </c>
      <c r="H50" t="s">
        <v>200</v>
      </c>
      <c r="J50" t="s">
        <v>278</v>
      </c>
      <c r="K50">
        <v>-13.881</v>
      </c>
      <c r="L50">
        <v>-5.3010000000000002</v>
      </c>
      <c r="M50">
        <v>1</v>
      </c>
      <c r="N50" t="s">
        <v>255</v>
      </c>
      <c r="O50">
        <v>2</v>
      </c>
      <c r="P50" t="s">
        <v>268</v>
      </c>
    </row>
    <row r="51" spans="1:18" x14ac:dyDescent="0.25">
      <c r="A51" t="s">
        <v>260</v>
      </c>
      <c r="B51">
        <v>7.0233000000000004E-8</v>
      </c>
      <c r="C51">
        <v>7.9990000000000004E-8</v>
      </c>
      <c r="D51">
        <v>-7.0970000000000004</v>
      </c>
      <c r="G51">
        <v>22.364999999999998</v>
      </c>
      <c r="H51" t="s">
        <v>199</v>
      </c>
      <c r="J51" t="s">
        <v>277</v>
      </c>
      <c r="K51">
        <v>-10.89</v>
      </c>
      <c r="L51">
        <v>-1.62</v>
      </c>
      <c r="M51">
        <v>1</v>
      </c>
      <c r="N51" t="s">
        <v>255</v>
      </c>
      <c r="O51">
        <v>1</v>
      </c>
      <c r="P51" t="s">
        <v>193</v>
      </c>
    </row>
    <row r="52" spans="1:18" x14ac:dyDescent="0.25">
      <c r="A52" t="s">
        <v>186</v>
      </c>
      <c r="B52">
        <v>9.9385999999999992E-10</v>
      </c>
      <c r="C52">
        <v>1.1319E-9</v>
      </c>
      <c r="D52">
        <v>-8.9459999999999997</v>
      </c>
      <c r="G52">
        <v>14.018000000000001</v>
      </c>
      <c r="H52" t="s">
        <v>195</v>
      </c>
      <c r="J52" t="s">
        <v>214</v>
      </c>
      <c r="K52">
        <v>-3.46</v>
      </c>
      <c r="L52">
        <v>-3.7810000000000001</v>
      </c>
      <c r="M52">
        <v>2</v>
      </c>
      <c r="N52" t="s">
        <v>177</v>
      </c>
      <c r="O52">
        <v>1</v>
      </c>
      <c r="P52" t="s">
        <v>170</v>
      </c>
    </row>
    <row r="53" spans="1:18" x14ac:dyDescent="0.25">
      <c r="A53" t="s">
        <v>185</v>
      </c>
      <c r="B53">
        <v>2.3732000000000001E-4</v>
      </c>
      <c r="C53">
        <v>1.7487000000000001E-4</v>
      </c>
      <c r="D53">
        <v>-3.7570000000000001</v>
      </c>
      <c r="G53">
        <v>0.47299999999999998</v>
      </c>
      <c r="H53" t="s">
        <v>197</v>
      </c>
      <c r="J53" t="s">
        <v>213</v>
      </c>
      <c r="K53">
        <v>-7.2030000000000003</v>
      </c>
      <c r="L53">
        <v>-7.84</v>
      </c>
      <c r="M53">
        <v>2</v>
      </c>
      <c r="N53" t="s">
        <v>177</v>
      </c>
      <c r="O53">
        <v>1</v>
      </c>
      <c r="P53" t="s">
        <v>193</v>
      </c>
      <c r="Q53">
        <v>1</v>
      </c>
      <c r="R53" t="s">
        <v>212</v>
      </c>
    </row>
    <row r="54" spans="1:18" x14ac:dyDescent="0.25">
      <c r="A54" t="s">
        <v>184</v>
      </c>
      <c r="B54">
        <v>3.0265999999999998E-2</v>
      </c>
      <c r="C54">
        <v>8.9219E-3</v>
      </c>
      <c r="D54">
        <v>-2.0499999999999998</v>
      </c>
      <c r="G54">
        <v>1.9E-2</v>
      </c>
      <c r="H54" t="s">
        <v>198</v>
      </c>
      <c r="J54" t="s">
        <v>211</v>
      </c>
      <c r="K54">
        <v>-8.8800000000000008</v>
      </c>
      <c r="L54">
        <v>-0.96599999999999997</v>
      </c>
      <c r="M54">
        <v>1</v>
      </c>
      <c r="N54" t="s">
        <v>200</v>
      </c>
      <c r="O54">
        <v>1</v>
      </c>
      <c r="P54" t="s">
        <v>193</v>
      </c>
    </row>
    <row r="55" spans="1:18" x14ac:dyDescent="0.25">
      <c r="A55" t="s">
        <v>183</v>
      </c>
      <c r="B55">
        <v>7.2474999999999992E-7</v>
      </c>
      <c r="C55">
        <v>2.1364E-7</v>
      </c>
      <c r="D55">
        <v>-6.67</v>
      </c>
      <c r="F55" t="s">
        <v>255</v>
      </c>
      <c r="G55">
        <v>70.338999999999999</v>
      </c>
      <c r="H55" t="s">
        <v>255</v>
      </c>
    </row>
    <row r="56" spans="1:18" x14ac:dyDescent="0.25">
      <c r="A56" t="s">
        <v>182</v>
      </c>
      <c r="B56">
        <v>1.6999E-2</v>
      </c>
      <c r="C56">
        <v>1.2525E-2</v>
      </c>
      <c r="D56">
        <v>-1.9019999999999999</v>
      </c>
      <c r="G56">
        <v>15.369</v>
      </c>
      <c r="H56" t="s">
        <v>254</v>
      </c>
    </row>
    <row r="57" spans="1:18" x14ac:dyDescent="0.25">
      <c r="A57" t="s">
        <v>181</v>
      </c>
      <c r="B57">
        <v>4.4951000000000004E-6</v>
      </c>
      <c r="C57">
        <v>5.1196000000000001E-6</v>
      </c>
      <c r="D57">
        <v>-5.2910000000000004</v>
      </c>
      <c r="G57">
        <v>13.606999999999999</v>
      </c>
      <c r="H57" t="s">
        <v>248</v>
      </c>
    </row>
    <row r="58" spans="1:18" x14ac:dyDescent="0.25">
      <c r="A58" t="s">
        <v>259</v>
      </c>
      <c r="B58">
        <v>2.5524000000000002E-5</v>
      </c>
      <c r="C58">
        <v>1.8807000000000001E-5</v>
      </c>
      <c r="D58">
        <v>-4.726</v>
      </c>
      <c r="G58">
        <v>0.67200000000000004</v>
      </c>
      <c r="H58" t="s">
        <v>250</v>
      </c>
    </row>
    <row r="59" spans="1:18" x14ac:dyDescent="0.25">
      <c r="A59" t="s">
        <v>258</v>
      </c>
      <c r="B59">
        <v>1.1109E-6</v>
      </c>
      <c r="C59">
        <v>8.1855999999999994E-7</v>
      </c>
      <c r="D59">
        <v>-6.0869999999999997</v>
      </c>
      <c r="F59" t="s">
        <v>194</v>
      </c>
      <c r="G59">
        <v>87.629000000000005</v>
      </c>
      <c r="H59" t="s">
        <v>194</v>
      </c>
    </row>
    <row r="60" spans="1:18" x14ac:dyDescent="0.25">
      <c r="A60" t="s">
        <v>180</v>
      </c>
      <c r="B60">
        <v>1.8275E-4</v>
      </c>
      <c r="C60">
        <v>1.3466000000000002E-4</v>
      </c>
      <c r="D60">
        <v>-3.871</v>
      </c>
      <c r="G60">
        <v>0.42099999999999999</v>
      </c>
      <c r="H60" t="s">
        <v>199</v>
      </c>
    </row>
    <row r="61" spans="1:18" x14ac:dyDescent="0.25">
      <c r="A61" t="s">
        <v>179</v>
      </c>
      <c r="B61">
        <v>4.5470999999999997E-7</v>
      </c>
      <c r="C61">
        <v>3.3504999999999997E-7</v>
      </c>
      <c r="D61">
        <v>-6.4749999999999996</v>
      </c>
      <c r="G61">
        <v>3.1120000000000001</v>
      </c>
      <c r="H61" t="s">
        <v>182</v>
      </c>
    </row>
    <row r="62" spans="1:18" x14ac:dyDescent="0.25">
      <c r="A62" t="s">
        <v>178</v>
      </c>
      <c r="B62">
        <v>5.3395999999999999E-3</v>
      </c>
      <c r="C62">
        <v>6.0813999999999998E-3</v>
      </c>
      <c r="D62">
        <v>-2.2160000000000002</v>
      </c>
      <c r="G62">
        <v>0.187</v>
      </c>
      <c r="H62" t="s">
        <v>187</v>
      </c>
    </row>
    <row r="63" spans="1:18" x14ac:dyDescent="0.25">
      <c r="A63" t="s">
        <v>177</v>
      </c>
      <c r="B63">
        <v>0.41306000000000004</v>
      </c>
      <c r="C63">
        <v>0.30436000000000002</v>
      </c>
      <c r="D63">
        <v>-0.51700000000000002</v>
      </c>
      <c r="G63">
        <v>8.6479999999999997</v>
      </c>
      <c r="H63" t="s">
        <v>176</v>
      </c>
    </row>
    <row r="64" spans="1:18" x14ac:dyDescent="0.25">
      <c r="A64" t="s">
        <v>176</v>
      </c>
      <c r="B64">
        <v>4.7230999999999995E-2</v>
      </c>
      <c r="C64">
        <v>5.3792E-2</v>
      </c>
      <c r="D64">
        <v>-1.2689999999999999</v>
      </c>
      <c r="F64" t="s">
        <v>170</v>
      </c>
      <c r="G64">
        <v>44.997</v>
      </c>
      <c r="H64" t="s">
        <v>170</v>
      </c>
    </row>
    <row r="65" spans="1:8" x14ac:dyDescent="0.25">
      <c r="A65" t="s">
        <v>175</v>
      </c>
      <c r="B65">
        <v>5.3062000000000001E-6</v>
      </c>
      <c r="C65">
        <v>3.9098000000000002E-6</v>
      </c>
      <c r="D65">
        <v>-5.4080000000000004</v>
      </c>
      <c r="G65">
        <v>18.908000000000001</v>
      </c>
      <c r="H65" t="s">
        <v>178</v>
      </c>
    </row>
    <row r="66" spans="1:8" x14ac:dyDescent="0.25">
      <c r="A66" t="s">
        <v>257</v>
      </c>
      <c r="B66">
        <v>7.4260999999999999E-6</v>
      </c>
      <c r="C66">
        <v>8.4578000000000006E-6</v>
      </c>
      <c r="D66">
        <v>-5.0730000000000004</v>
      </c>
      <c r="G66">
        <v>5.1029999999999998</v>
      </c>
      <c r="H66" t="s">
        <v>195</v>
      </c>
    </row>
    <row r="67" spans="1:8" x14ac:dyDescent="0.25">
      <c r="A67" t="s">
        <v>256</v>
      </c>
      <c r="B67">
        <v>1.1207000000000001E-6</v>
      </c>
      <c r="C67">
        <v>1.2764E-6</v>
      </c>
      <c r="D67">
        <v>-5.8940000000000001</v>
      </c>
      <c r="G67">
        <v>4.2999999999999997E-2</v>
      </c>
      <c r="H67" t="s">
        <v>248</v>
      </c>
    </row>
    <row r="68" spans="1:8" x14ac:dyDescent="0.25">
      <c r="A68" t="s">
        <v>174</v>
      </c>
      <c r="B68">
        <v>1.9709E-4</v>
      </c>
      <c r="C68">
        <v>2.2447E-4</v>
      </c>
      <c r="D68">
        <v>-3.649</v>
      </c>
      <c r="G68">
        <v>30.109000000000002</v>
      </c>
      <c r="H68" t="s">
        <v>172</v>
      </c>
    </row>
    <row r="69" spans="1:8" x14ac:dyDescent="0.25">
      <c r="A69" t="s">
        <v>173</v>
      </c>
      <c r="B69">
        <v>3.3231000000000002E-8</v>
      </c>
      <c r="C69">
        <v>3.7848000000000002E-8</v>
      </c>
      <c r="D69">
        <v>-7.4219999999999997</v>
      </c>
      <c r="G69">
        <v>0.84</v>
      </c>
      <c r="H69" t="s">
        <v>185</v>
      </c>
    </row>
    <row r="70" spans="1:8" x14ac:dyDescent="0.25">
      <c r="A70" t="s">
        <v>172</v>
      </c>
      <c r="B70">
        <v>8.5027000000000002E-3</v>
      </c>
      <c r="C70">
        <v>6.2651999999999994E-3</v>
      </c>
      <c r="D70">
        <v>-2.2029999999999998</v>
      </c>
      <c r="F70" t="s">
        <v>268</v>
      </c>
      <c r="G70">
        <v>51.451000000000001</v>
      </c>
      <c r="H70" t="s">
        <v>268</v>
      </c>
    </row>
    <row r="71" spans="1:8" x14ac:dyDescent="0.25">
      <c r="A71" t="s">
        <v>171</v>
      </c>
      <c r="B71">
        <v>1.3404999999999999E-7</v>
      </c>
      <c r="C71">
        <v>9.8776999999999998E-8</v>
      </c>
      <c r="D71">
        <v>-7.0049999999999999</v>
      </c>
      <c r="G71">
        <v>36.463000000000001</v>
      </c>
      <c r="H71" t="s">
        <v>259</v>
      </c>
    </row>
    <row r="72" spans="1:8" x14ac:dyDescent="0.25">
      <c r="A72" t="s">
        <v>170</v>
      </c>
      <c r="B72">
        <v>1.2707E-2</v>
      </c>
      <c r="C72">
        <v>3.7457999999999997E-3</v>
      </c>
      <c r="D72">
        <v>-2.4260000000000002</v>
      </c>
      <c r="G72">
        <v>1.3580000000000001</v>
      </c>
      <c r="H72" t="s">
        <v>270</v>
      </c>
    </row>
    <row r="73" spans="1:8" x14ac:dyDescent="0.25">
      <c r="A73" t="s">
        <v>255</v>
      </c>
      <c r="B73">
        <v>6.3305000000000005E-5</v>
      </c>
      <c r="C73">
        <v>1.8661E-5</v>
      </c>
      <c r="D73">
        <v>-4.7290000000000001</v>
      </c>
      <c r="G73">
        <v>10.609</v>
      </c>
      <c r="H73" t="s">
        <v>257</v>
      </c>
    </row>
    <row r="74" spans="1:8" x14ac:dyDescent="0.25">
      <c r="A74" t="s">
        <v>254</v>
      </c>
      <c r="B74">
        <v>1.3832000000000001E-5</v>
      </c>
      <c r="C74">
        <v>1.0192E-5</v>
      </c>
      <c r="D74">
        <v>-4.992</v>
      </c>
      <c r="G74">
        <v>0.1</v>
      </c>
      <c r="H74" t="s">
        <v>260</v>
      </c>
    </row>
    <row r="75" spans="1:8" x14ac:dyDescent="0.25">
      <c r="A75" t="s">
        <v>253</v>
      </c>
      <c r="B75">
        <v>7.2982999999999999E-9</v>
      </c>
      <c r="C75">
        <v>8.3121999999999995E-9</v>
      </c>
      <c r="D75">
        <v>-8.08</v>
      </c>
      <c r="F75" t="s">
        <v>271</v>
      </c>
      <c r="G75">
        <v>100</v>
      </c>
      <c r="H75" t="s">
        <v>271</v>
      </c>
    </row>
    <row r="76" spans="1:8" x14ac:dyDescent="0.25">
      <c r="A76" t="s">
        <v>252</v>
      </c>
      <c r="B76">
        <v>2.4402999999999999E-9</v>
      </c>
      <c r="C76">
        <v>1.7981E-9</v>
      </c>
      <c r="D76">
        <v>-8.7449999999999992</v>
      </c>
    </row>
    <row r="77" spans="1:8" x14ac:dyDescent="0.25">
      <c r="A77" t="s">
        <v>251</v>
      </c>
      <c r="B77">
        <v>2.3777000000000002E-9</v>
      </c>
      <c r="C77">
        <v>1.7520000000000002E-9</v>
      </c>
      <c r="D77">
        <v>-8.7560000000000002</v>
      </c>
    </row>
    <row r="78" spans="1:8" x14ac:dyDescent="0.25">
      <c r="A78" t="s">
        <v>250</v>
      </c>
      <c r="B78">
        <v>6.0442000000000001E-7</v>
      </c>
      <c r="C78">
        <v>4.4536999999999997E-7</v>
      </c>
      <c r="D78">
        <v>-6.351</v>
      </c>
    </row>
    <row r="79" spans="1:8" x14ac:dyDescent="0.25">
      <c r="A79" t="s">
        <v>249</v>
      </c>
      <c r="B79">
        <v>1.6528000000000002E-11</v>
      </c>
      <c r="C79">
        <v>1.2179000000000001E-11</v>
      </c>
      <c r="D79">
        <v>-10.914</v>
      </c>
    </row>
    <row r="80" spans="1:8" x14ac:dyDescent="0.25">
      <c r="A80" t="s">
        <v>248</v>
      </c>
      <c r="B80">
        <v>1.2246000000000001E-5</v>
      </c>
      <c r="C80">
        <v>1.3947E-5</v>
      </c>
      <c r="D80">
        <v>-4.8559999999999999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7"/>
  <sheetViews>
    <sheetView workbookViewId="0">
      <selection activeCell="F22" sqref="F22"/>
    </sheetView>
  </sheetViews>
  <sheetFormatPr defaultRowHeight="15.75" x14ac:dyDescent="0.25"/>
  <cols>
    <col min="1" max="1" width="21.375" customWidth="1"/>
    <col min="2" max="2" width="11.875" bestFit="1" customWidth="1"/>
    <col min="3" max="3" width="15.5" bestFit="1" customWidth="1"/>
  </cols>
  <sheetData>
    <row r="1" spans="1:8" x14ac:dyDescent="0.25">
      <c r="A1" t="s">
        <v>52</v>
      </c>
    </row>
    <row r="2" spans="1:8" x14ac:dyDescent="0.25">
      <c r="G2" t="s">
        <v>71</v>
      </c>
      <c r="H2">
        <f>18.015</f>
        <v>18.015000000000001</v>
      </c>
    </row>
    <row r="3" spans="1:8" x14ac:dyDescent="0.25">
      <c r="A3" t="s">
        <v>53</v>
      </c>
      <c r="B3" t="s">
        <v>63</v>
      </c>
      <c r="C3" t="s">
        <v>44</v>
      </c>
      <c r="D3" t="s">
        <v>65</v>
      </c>
    </row>
    <row r="4" spans="1:8" x14ac:dyDescent="0.25">
      <c r="A4" t="s">
        <v>54</v>
      </c>
      <c r="B4">
        <v>24123</v>
      </c>
      <c r="C4">
        <v>22.99</v>
      </c>
      <c r="D4">
        <f>B4/1000/C4</f>
        <v>1.0492822966507178</v>
      </c>
      <c r="F4" t="s">
        <v>66</v>
      </c>
      <c r="G4" t="s">
        <v>67</v>
      </c>
    </row>
    <row r="5" spans="1:8" x14ac:dyDescent="0.25">
      <c r="A5" t="s">
        <v>55</v>
      </c>
      <c r="B5">
        <v>7220</v>
      </c>
      <c r="C5">
        <v>40.078000000000003</v>
      </c>
      <c r="D5">
        <f t="shared" ref="D5:D12" si="0">B5/1000/C5</f>
        <v>0.18014871001546981</v>
      </c>
      <c r="F5">
        <f>D4-D10-2*D11-2*D12</f>
        <v>1.0359099500620661</v>
      </c>
      <c r="G5">
        <f>D9-2*SUM(D5:D8)</f>
        <v>1.1369878113067899</v>
      </c>
    </row>
    <row r="6" spans="1:8" x14ac:dyDescent="0.25">
      <c r="A6" t="s">
        <v>56</v>
      </c>
      <c r="B6">
        <v>632</v>
      </c>
      <c r="C6">
        <v>24.305</v>
      </c>
      <c r="D6">
        <f t="shared" si="0"/>
        <v>2.6002880065830077E-2</v>
      </c>
    </row>
    <row r="7" spans="1:8" x14ac:dyDescent="0.25">
      <c r="A7" t="s">
        <v>57</v>
      </c>
      <c r="B7">
        <v>2224</v>
      </c>
      <c r="C7">
        <v>137.327</v>
      </c>
      <c r="D7">
        <f t="shared" si="0"/>
        <v>1.6194921610462619E-2</v>
      </c>
      <c r="F7" t="s">
        <v>68</v>
      </c>
    </row>
    <row r="8" spans="1:8" x14ac:dyDescent="0.25">
      <c r="A8" t="s">
        <v>58</v>
      </c>
      <c r="B8">
        <v>1695</v>
      </c>
      <c r="C8">
        <v>87.62</v>
      </c>
      <c r="D8">
        <f t="shared" si="0"/>
        <v>1.9344898425017118E-2</v>
      </c>
      <c r="F8">
        <f>D4+2*SUM(D5:D8)</f>
        <v>1.5326651168842771</v>
      </c>
      <c r="G8">
        <f>D9+D10+2*(D11+D12)</f>
        <v>1.6337429781290009</v>
      </c>
    </row>
    <row r="9" spans="1:8" x14ac:dyDescent="0.25">
      <c r="A9" t="s">
        <v>59</v>
      </c>
      <c r="B9">
        <v>57447</v>
      </c>
      <c r="C9">
        <v>35.453000000000003</v>
      </c>
      <c r="D9">
        <f t="shared" si="0"/>
        <v>1.6203706315403492</v>
      </c>
    </row>
    <row r="10" spans="1:8" x14ac:dyDescent="0.25">
      <c r="A10" t="s">
        <v>60</v>
      </c>
      <c r="B10">
        <v>511</v>
      </c>
      <c r="C10">
        <v>79.903999999999996</v>
      </c>
      <c r="D10">
        <f t="shared" si="0"/>
        <v>6.3951742090508617E-3</v>
      </c>
    </row>
    <row r="11" spans="1:8" x14ac:dyDescent="0.25">
      <c r="A11" t="s">
        <v>61</v>
      </c>
      <c r="B11">
        <v>71</v>
      </c>
      <c r="C11">
        <v>96.07</v>
      </c>
      <c r="D11">
        <f t="shared" si="0"/>
        <v>7.3904444675757257E-4</v>
      </c>
    </row>
    <row r="12" spans="1:8" x14ac:dyDescent="0.25">
      <c r="A12" t="s">
        <v>62</v>
      </c>
      <c r="B12">
        <v>165</v>
      </c>
      <c r="C12">
        <v>60.01</v>
      </c>
      <c r="D12">
        <f t="shared" si="0"/>
        <v>2.7495417430428264E-3</v>
      </c>
    </row>
    <row r="14" spans="1:8" x14ac:dyDescent="0.25">
      <c r="A14" t="s">
        <v>64</v>
      </c>
    </row>
    <row r="16" spans="1:8" x14ac:dyDescent="0.25">
      <c r="A16" t="s">
        <v>69</v>
      </c>
      <c r="B16" t="s">
        <v>70</v>
      </c>
      <c r="C16" t="s">
        <v>44</v>
      </c>
      <c r="D16" t="s">
        <v>78</v>
      </c>
      <c r="E16" t="s">
        <v>79</v>
      </c>
    </row>
    <row r="17" spans="1:20" x14ac:dyDescent="0.25">
      <c r="A17" t="s">
        <v>27</v>
      </c>
      <c r="B17">
        <f>F5</f>
        <v>1.0359099500620661</v>
      </c>
      <c r="C17">
        <f>C4+C9</f>
        <v>58.442999999999998</v>
      </c>
      <c r="D17">
        <f>B17*C17</f>
        <v>60.541685211477329</v>
      </c>
      <c r="E17">
        <f>D17*10</f>
        <v>605.41685211477329</v>
      </c>
    </row>
    <row r="18" spans="1:20" x14ac:dyDescent="0.25">
      <c r="A18" t="s">
        <v>72</v>
      </c>
      <c r="B18">
        <f>D5</f>
        <v>0.18014871001546981</v>
      </c>
      <c r="C18">
        <f>C5+2*$C$9+2*$H$2</f>
        <v>147.01400000000001</v>
      </c>
      <c r="D18">
        <f t="shared" ref="D18:D24" si="1">B18*C18</f>
        <v>26.484382454214281</v>
      </c>
      <c r="E18">
        <f t="shared" ref="E18:E24" si="2">D18*10</f>
        <v>264.84382454214278</v>
      </c>
    </row>
    <row r="19" spans="1:20" x14ac:dyDescent="0.25">
      <c r="A19" t="s">
        <v>73</v>
      </c>
      <c r="B19">
        <f t="shared" ref="B19:B21" si="3">D6</f>
        <v>2.6002880065830077E-2</v>
      </c>
      <c r="C19">
        <f>C6+2*$C$9+6*$H$2</f>
        <v>203.30100000000002</v>
      </c>
      <c r="D19">
        <f t="shared" si="1"/>
        <v>5.2864115202633206</v>
      </c>
      <c r="E19">
        <f t="shared" si="2"/>
        <v>52.864115202633208</v>
      </c>
    </row>
    <row r="20" spans="1:20" x14ac:dyDescent="0.25">
      <c r="A20" t="s">
        <v>74</v>
      </c>
      <c r="B20">
        <f t="shared" si="3"/>
        <v>1.6194921610462619E-2</v>
      </c>
      <c r="C20">
        <f>C7+2*$C$9+2*H2</f>
        <v>244.26300000000001</v>
      </c>
      <c r="D20">
        <f t="shared" si="1"/>
        <v>3.9558201373364308</v>
      </c>
      <c r="E20">
        <f t="shared" si="2"/>
        <v>39.558201373364305</v>
      </c>
    </row>
    <row r="21" spans="1:20" x14ac:dyDescent="0.25">
      <c r="A21" t="s">
        <v>75</v>
      </c>
      <c r="B21">
        <f t="shared" si="3"/>
        <v>1.9344898425017118E-2</v>
      </c>
      <c r="C21">
        <f>C8+2*$C$9+6*H2</f>
        <v>266.61599999999999</v>
      </c>
      <c r="D21">
        <f t="shared" si="1"/>
        <v>5.1576594384843633</v>
      </c>
      <c r="E21">
        <f t="shared" si="2"/>
        <v>51.576594384843631</v>
      </c>
    </row>
    <row r="22" spans="1:20" x14ac:dyDescent="0.25">
      <c r="A22" t="s">
        <v>76</v>
      </c>
      <c r="B22">
        <f>D10</f>
        <v>6.3951742090508617E-3</v>
      </c>
      <c r="C22">
        <f>C4+C10+2*H2</f>
        <v>138.92399999999998</v>
      </c>
      <c r="D22">
        <f t="shared" si="1"/>
        <v>0.88844318181818172</v>
      </c>
      <c r="E22">
        <f t="shared" si="2"/>
        <v>8.8844318181818167</v>
      </c>
    </row>
    <row r="23" spans="1:20" x14ac:dyDescent="0.25">
      <c r="A23" t="s">
        <v>77</v>
      </c>
      <c r="B23">
        <f t="shared" ref="B23:B24" si="4">D11</f>
        <v>7.3904444675757257E-4</v>
      </c>
      <c r="C23">
        <f>2*C4+C11+10*H2</f>
        <v>322.2</v>
      </c>
      <c r="D23">
        <f t="shared" si="1"/>
        <v>0.23812012074528988</v>
      </c>
      <c r="E23">
        <f t="shared" si="2"/>
        <v>2.3812012074528988</v>
      </c>
    </row>
    <row r="24" spans="1:20" x14ac:dyDescent="0.25">
      <c r="A24" t="s">
        <v>31</v>
      </c>
      <c r="B24">
        <f t="shared" si="4"/>
        <v>2.7495417430428264E-3</v>
      </c>
      <c r="C24">
        <f>C4+C12+1.008</f>
        <v>84.007999999999996</v>
      </c>
      <c r="D24">
        <f t="shared" si="1"/>
        <v>0.23098350274954174</v>
      </c>
      <c r="E24">
        <f t="shared" si="2"/>
        <v>2.3098350274954176</v>
      </c>
    </row>
    <row r="25" spans="1:20" x14ac:dyDescent="0.25">
      <c r="J25" t="s">
        <v>293</v>
      </c>
    </row>
    <row r="26" spans="1:20" x14ac:dyDescent="0.25">
      <c r="B26" t="s">
        <v>203</v>
      </c>
      <c r="C26" t="s">
        <v>202</v>
      </c>
      <c r="D26" t="s">
        <v>201</v>
      </c>
      <c r="F26" t="s">
        <v>288</v>
      </c>
      <c r="J26" t="s">
        <v>242</v>
      </c>
      <c r="K26" t="s">
        <v>241</v>
      </c>
      <c r="L26" t="s">
        <v>240</v>
      </c>
      <c r="M26" t="s">
        <v>239</v>
      </c>
    </row>
    <row r="27" spans="1:20" x14ac:dyDescent="0.25">
      <c r="A27" t="s">
        <v>287</v>
      </c>
      <c r="B27">
        <v>1.0158E-2</v>
      </c>
      <c r="C27">
        <v>5.0891E-3</v>
      </c>
      <c r="D27">
        <v>-2.2930000000000001</v>
      </c>
      <c r="F27" t="s">
        <v>210</v>
      </c>
      <c r="G27" t="s">
        <v>209</v>
      </c>
      <c r="H27" t="s">
        <v>208</v>
      </c>
      <c r="J27" t="s">
        <v>238</v>
      </c>
      <c r="K27">
        <v>-5.258</v>
      </c>
      <c r="L27">
        <v>-0.89800000000000002</v>
      </c>
      <c r="M27">
        <v>1</v>
      </c>
      <c r="N27" t="s">
        <v>200</v>
      </c>
      <c r="O27">
        <v>1</v>
      </c>
      <c r="P27" t="s">
        <v>170</v>
      </c>
    </row>
    <row r="28" spans="1:20" x14ac:dyDescent="0.25">
      <c r="A28" t="s">
        <v>284</v>
      </c>
      <c r="B28">
        <v>5.8095999999999998E-3</v>
      </c>
      <c r="C28">
        <v>4.8877999999999994E-3</v>
      </c>
      <c r="D28">
        <v>-2.3109999999999999</v>
      </c>
      <c r="F28" t="s">
        <v>193</v>
      </c>
      <c r="G28">
        <v>0.04</v>
      </c>
      <c r="H28" t="s">
        <v>193</v>
      </c>
      <c r="J28" t="s">
        <v>237</v>
      </c>
      <c r="K28">
        <v>-7.3920000000000003</v>
      </c>
      <c r="L28">
        <v>0.94399999999999995</v>
      </c>
      <c r="M28">
        <v>1</v>
      </c>
      <c r="N28" t="s">
        <v>200</v>
      </c>
      <c r="O28">
        <v>1</v>
      </c>
      <c r="P28" t="s">
        <v>193</v>
      </c>
    </row>
    <row r="29" spans="1:20" x14ac:dyDescent="0.25">
      <c r="A29" t="s">
        <v>286</v>
      </c>
      <c r="B29">
        <v>2.2483999999999999E-6</v>
      </c>
      <c r="C29">
        <v>3.0188000000000002E-6</v>
      </c>
      <c r="D29">
        <v>-5.52</v>
      </c>
      <c r="G29">
        <v>10.516999999999999</v>
      </c>
      <c r="H29" t="s">
        <v>174</v>
      </c>
      <c r="J29" t="s">
        <v>236</v>
      </c>
      <c r="K29">
        <v>3.1019999999999999</v>
      </c>
      <c r="L29">
        <v>-6.4980000000000002</v>
      </c>
      <c r="M29">
        <v>-2</v>
      </c>
      <c r="N29" t="s">
        <v>192</v>
      </c>
      <c r="O29">
        <v>2</v>
      </c>
      <c r="P29" t="s">
        <v>184</v>
      </c>
      <c r="Q29">
        <v>1</v>
      </c>
      <c r="R29" t="s">
        <v>193</v>
      </c>
      <c r="S29">
        <v>5</v>
      </c>
      <c r="T29" t="s">
        <v>212</v>
      </c>
    </row>
    <row r="30" spans="1:20" x14ac:dyDescent="0.25">
      <c r="A30" t="s">
        <v>285</v>
      </c>
      <c r="B30">
        <v>1.4252000000000001E-4</v>
      </c>
      <c r="C30">
        <v>1.1991000000000001E-4</v>
      </c>
      <c r="D30">
        <v>-3.9209999999999998</v>
      </c>
      <c r="G30">
        <v>50.259</v>
      </c>
      <c r="H30" t="s">
        <v>190</v>
      </c>
      <c r="J30" t="s">
        <v>292</v>
      </c>
      <c r="K30">
        <v>11.484999999999999</v>
      </c>
      <c r="L30">
        <v>-12.909000000000001</v>
      </c>
      <c r="M30">
        <v>1</v>
      </c>
      <c r="N30" t="s">
        <v>287</v>
      </c>
      <c r="O30">
        <v>10</v>
      </c>
      <c r="P30" t="s">
        <v>212</v>
      </c>
      <c r="Q30">
        <v>-2</v>
      </c>
      <c r="R30" t="s">
        <v>192</v>
      </c>
    </row>
    <row r="31" spans="1:20" x14ac:dyDescent="0.25">
      <c r="A31" t="s">
        <v>289</v>
      </c>
      <c r="B31">
        <v>2.5267E-9</v>
      </c>
      <c r="C31">
        <v>2.1258000000000002E-9</v>
      </c>
      <c r="D31">
        <v>-8.6720000000000006</v>
      </c>
      <c r="G31">
        <v>7.0830000000000002</v>
      </c>
      <c r="H31" t="s">
        <v>191</v>
      </c>
      <c r="J31" t="s">
        <v>291</v>
      </c>
      <c r="K31">
        <v>-6.0970000000000004</v>
      </c>
      <c r="L31">
        <v>3.883</v>
      </c>
      <c r="M31">
        <v>1</v>
      </c>
      <c r="N31" t="s">
        <v>287</v>
      </c>
      <c r="O31">
        <v>1</v>
      </c>
      <c r="P31" t="s">
        <v>170</v>
      </c>
    </row>
    <row r="32" spans="1:20" x14ac:dyDescent="0.25">
      <c r="A32" t="s">
        <v>283</v>
      </c>
      <c r="B32">
        <v>8.0406000000000002E-5</v>
      </c>
      <c r="C32">
        <v>1.0796E-4</v>
      </c>
      <c r="D32">
        <v>-3.9670000000000001</v>
      </c>
      <c r="G32">
        <v>4.5999999999999999E-2</v>
      </c>
      <c r="H32" t="s">
        <v>181</v>
      </c>
      <c r="J32" t="s">
        <v>235</v>
      </c>
      <c r="K32">
        <v>11.531000000000001</v>
      </c>
      <c r="L32">
        <v>-5.569</v>
      </c>
      <c r="M32">
        <v>1</v>
      </c>
      <c r="N32" t="s">
        <v>184</v>
      </c>
      <c r="O32">
        <v>2</v>
      </c>
      <c r="P32" t="s">
        <v>212</v>
      </c>
      <c r="Q32">
        <v>-2</v>
      </c>
      <c r="R32" t="s">
        <v>192</v>
      </c>
    </row>
    <row r="33" spans="1:20" x14ac:dyDescent="0.25">
      <c r="A33" t="s">
        <v>271</v>
      </c>
      <c r="B33">
        <v>6.3950999999999999E-3</v>
      </c>
      <c r="C33">
        <v>5.3803000000000002E-3</v>
      </c>
      <c r="D33">
        <v>-2.2690000000000001</v>
      </c>
      <c r="G33">
        <v>1.9370000000000001</v>
      </c>
      <c r="H33" t="s">
        <v>180</v>
      </c>
      <c r="J33" t="s">
        <v>234</v>
      </c>
      <c r="K33">
        <v>-7.4139999999999997</v>
      </c>
      <c r="L33">
        <v>-0.26900000000000002</v>
      </c>
      <c r="M33">
        <v>1</v>
      </c>
      <c r="N33" t="s">
        <v>200</v>
      </c>
      <c r="O33">
        <v>1</v>
      </c>
      <c r="P33" t="s">
        <v>193</v>
      </c>
      <c r="Q33">
        <v>1</v>
      </c>
      <c r="R33" t="s">
        <v>212</v>
      </c>
    </row>
    <row r="34" spans="1:20" x14ac:dyDescent="0.25">
      <c r="A34" t="s">
        <v>200</v>
      </c>
      <c r="B34">
        <v>7.0029999999999995E-2</v>
      </c>
      <c r="C34">
        <v>3.5084999999999998E-2</v>
      </c>
      <c r="D34">
        <v>-1.4550000000000001</v>
      </c>
      <c r="G34">
        <v>22.456</v>
      </c>
      <c r="H34" t="s">
        <v>197</v>
      </c>
      <c r="J34" t="s">
        <v>233</v>
      </c>
      <c r="K34">
        <v>-7.3920000000000003</v>
      </c>
      <c r="L34">
        <v>1.0880000000000001</v>
      </c>
      <c r="M34">
        <v>1</v>
      </c>
      <c r="N34" t="s">
        <v>200</v>
      </c>
      <c r="O34">
        <v>1</v>
      </c>
      <c r="P34" t="s">
        <v>193</v>
      </c>
    </row>
    <row r="35" spans="1:20" x14ac:dyDescent="0.25">
      <c r="A35" t="s">
        <v>199</v>
      </c>
      <c r="B35">
        <v>0.10780000000000001</v>
      </c>
      <c r="C35">
        <v>9.0695999999999999E-2</v>
      </c>
      <c r="D35">
        <v>-1.042</v>
      </c>
      <c r="G35">
        <v>0.86</v>
      </c>
      <c r="H35" t="s">
        <v>198</v>
      </c>
      <c r="J35" t="s">
        <v>282</v>
      </c>
      <c r="K35">
        <v>-6.1150000000000002</v>
      </c>
      <c r="L35">
        <v>0.505</v>
      </c>
      <c r="M35">
        <v>1</v>
      </c>
      <c r="N35" t="s">
        <v>255</v>
      </c>
      <c r="O35">
        <v>1</v>
      </c>
      <c r="P35" t="s">
        <v>170</v>
      </c>
    </row>
    <row r="36" spans="1:20" x14ac:dyDescent="0.25">
      <c r="A36" t="s">
        <v>198</v>
      </c>
      <c r="B36">
        <v>5.0160000000000001E-5</v>
      </c>
      <c r="C36">
        <v>6.7347000000000004E-5</v>
      </c>
      <c r="D36">
        <v>-4.1719999999999997</v>
      </c>
      <c r="G36">
        <v>4.7E-2</v>
      </c>
      <c r="H36" t="s">
        <v>253</v>
      </c>
      <c r="J36" t="s">
        <v>232</v>
      </c>
      <c r="K36">
        <v>-15.754</v>
      </c>
      <c r="L36">
        <v>0.78600000000000003</v>
      </c>
      <c r="M36">
        <v>1</v>
      </c>
      <c r="N36" t="s">
        <v>200</v>
      </c>
      <c r="O36">
        <v>1</v>
      </c>
      <c r="P36" t="s">
        <v>184</v>
      </c>
      <c r="Q36">
        <v>2</v>
      </c>
      <c r="R36" t="s">
        <v>193</v>
      </c>
    </row>
    <row r="37" spans="1:20" x14ac:dyDescent="0.25">
      <c r="A37" t="s">
        <v>197</v>
      </c>
      <c r="B37">
        <v>1.3102999999999999E-3</v>
      </c>
      <c r="C37">
        <v>1.1023999999999999E-3</v>
      </c>
      <c r="D37">
        <v>-2.9580000000000002</v>
      </c>
      <c r="G37">
        <v>3.98</v>
      </c>
      <c r="H37" t="s">
        <v>250</v>
      </c>
      <c r="J37" t="s">
        <v>231</v>
      </c>
      <c r="K37">
        <v>-15.754</v>
      </c>
      <c r="L37">
        <v>1.3360000000000001</v>
      </c>
      <c r="M37">
        <v>1</v>
      </c>
      <c r="N37" t="s">
        <v>200</v>
      </c>
      <c r="O37">
        <v>1</v>
      </c>
      <c r="P37" t="s">
        <v>184</v>
      </c>
      <c r="Q37">
        <v>2</v>
      </c>
      <c r="R37" t="s">
        <v>193</v>
      </c>
    </row>
    <row r="38" spans="1:20" x14ac:dyDescent="0.25">
      <c r="A38" t="s">
        <v>196</v>
      </c>
      <c r="B38">
        <v>7.9621999999999997E-8</v>
      </c>
      <c r="C38">
        <v>6.6987000000000003E-8</v>
      </c>
      <c r="D38">
        <v>-7.1740000000000004</v>
      </c>
      <c r="G38">
        <v>3.9E-2</v>
      </c>
      <c r="H38" t="s">
        <v>286</v>
      </c>
      <c r="J38" t="s">
        <v>230</v>
      </c>
      <c r="K38">
        <v>-6.383</v>
      </c>
      <c r="L38">
        <v>-4.2569999999999997</v>
      </c>
      <c r="M38">
        <v>1</v>
      </c>
      <c r="N38" t="s">
        <v>184</v>
      </c>
      <c r="O38">
        <v>1</v>
      </c>
      <c r="P38" t="s">
        <v>170</v>
      </c>
      <c r="Q38">
        <v>7</v>
      </c>
      <c r="R38" t="s">
        <v>212</v>
      </c>
    </row>
    <row r="39" spans="1:20" x14ac:dyDescent="0.25">
      <c r="A39" t="s">
        <v>195</v>
      </c>
      <c r="B39">
        <v>9.4138000000000002E-4</v>
      </c>
      <c r="C39">
        <v>1.2638999999999999E-3</v>
      </c>
      <c r="D39">
        <v>-2.8980000000000001</v>
      </c>
      <c r="G39">
        <v>2.4430000000000001</v>
      </c>
      <c r="H39" t="s">
        <v>285</v>
      </c>
      <c r="J39" t="s">
        <v>229</v>
      </c>
      <c r="K39">
        <v>-5.3029999999999999</v>
      </c>
      <c r="L39">
        <v>-0.69299999999999995</v>
      </c>
      <c r="M39">
        <v>1</v>
      </c>
      <c r="N39" t="s">
        <v>200</v>
      </c>
      <c r="O39">
        <v>1</v>
      </c>
      <c r="P39" t="s">
        <v>170</v>
      </c>
      <c r="Q39">
        <v>2</v>
      </c>
      <c r="R39" t="s">
        <v>212</v>
      </c>
    </row>
    <row r="40" spans="1:20" x14ac:dyDescent="0.25">
      <c r="A40" t="s">
        <v>194</v>
      </c>
      <c r="B40">
        <v>1.2232000000000001</v>
      </c>
      <c r="C40">
        <v>1.0291000000000001</v>
      </c>
      <c r="D40">
        <v>1.2E-2</v>
      </c>
      <c r="G40">
        <v>0.29199999999999998</v>
      </c>
      <c r="H40" t="s">
        <v>175</v>
      </c>
      <c r="J40" t="s">
        <v>228</v>
      </c>
      <c r="K40">
        <v>-0.16400000000000001</v>
      </c>
      <c r="L40">
        <v>-1.714</v>
      </c>
      <c r="M40">
        <v>1</v>
      </c>
      <c r="N40" t="s">
        <v>177</v>
      </c>
      <c r="O40">
        <v>1</v>
      </c>
      <c r="P40" t="s">
        <v>194</v>
      </c>
    </row>
    <row r="41" spans="1:20" x14ac:dyDescent="0.25">
      <c r="A41" t="s">
        <v>193</v>
      </c>
      <c r="B41">
        <v>2.3086000000000002E-6</v>
      </c>
      <c r="C41">
        <v>1.1566000000000001E-6</v>
      </c>
      <c r="D41">
        <v>-5.9370000000000003</v>
      </c>
      <c r="F41" t="s">
        <v>177</v>
      </c>
      <c r="G41">
        <v>75.48</v>
      </c>
      <c r="H41" t="s">
        <v>177</v>
      </c>
      <c r="J41" t="s">
        <v>227</v>
      </c>
      <c r="K41">
        <v>-32.476999999999997</v>
      </c>
      <c r="L41">
        <v>-2.5089999999999999</v>
      </c>
      <c r="M41">
        <v>3</v>
      </c>
      <c r="N41" t="s">
        <v>184</v>
      </c>
      <c r="O41">
        <v>1</v>
      </c>
      <c r="P41" t="s">
        <v>200</v>
      </c>
      <c r="Q41">
        <v>4</v>
      </c>
      <c r="R41" t="s">
        <v>193</v>
      </c>
    </row>
    <row r="42" spans="1:20" x14ac:dyDescent="0.25">
      <c r="A42" t="s">
        <v>192</v>
      </c>
      <c r="B42">
        <v>1.1885999999999999E-7</v>
      </c>
      <c r="C42">
        <v>9.9999999999999995E-8</v>
      </c>
      <c r="D42">
        <v>-7</v>
      </c>
      <c r="G42">
        <v>5.8000000000000003E-2</v>
      </c>
      <c r="H42" t="s">
        <v>174</v>
      </c>
      <c r="J42" t="s">
        <v>226</v>
      </c>
      <c r="K42">
        <v>-22.004999999999999</v>
      </c>
      <c r="L42">
        <v>-13.239000000000001</v>
      </c>
      <c r="M42">
        <v>5</v>
      </c>
      <c r="N42" t="s">
        <v>184</v>
      </c>
      <c r="O42">
        <v>4</v>
      </c>
      <c r="P42" t="s">
        <v>193</v>
      </c>
      <c r="Q42">
        <v>-2</v>
      </c>
      <c r="R42" t="s">
        <v>192</v>
      </c>
      <c r="S42">
        <v>6</v>
      </c>
      <c r="T42" t="s">
        <v>212</v>
      </c>
    </row>
    <row r="43" spans="1:20" x14ac:dyDescent="0.25">
      <c r="A43" t="s">
        <v>191</v>
      </c>
      <c r="B43">
        <v>4.1327000000000003E-4</v>
      </c>
      <c r="C43">
        <v>5.5488E-4</v>
      </c>
      <c r="D43">
        <v>-3.2559999999999998</v>
      </c>
      <c r="G43">
        <v>24.395</v>
      </c>
      <c r="H43" t="s">
        <v>176</v>
      </c>
      <c r="J43" t="s">
        <v>224</v>
      </c>
      <c r="K43">
        <v>12.523</v>
      </c>
      <c r="L43">
        <v>-20.175999999999998</v>
      </c>
      <c r="M43">
        <v>-2</v>
      </c>
      <c r="N43" t="s">
        <v>192</v>
      </c>
      <c r="O43">
        <v>1</v>
      </c>
      <c r="P43" t="s">
        <v>200</v>
      </c>
      <c r="Q43">
        <v>1</v>
      </c>
      <c r="R43" t="s">
        <v>212</v>
      </c>
    </row>
    <row r="44" spans="1:20" x14ac:dyDescent="0.25">
      <c r="A44" t="s">
        <v>190</v>
      </c>
      <c r="B44">
        <v>2.9324999999999998E-3</v>
      </c>
      <c r="C44">
        <v>2.4671999999999997E-3</v>
      </c>
      <c r="D44">
        <v>-2.6080000000000001</v>
      </c>
      <c r="G44">
        <v>6.5000000000000002E-2</v>
      </c>
      <c r="H44" t="s">
        <v>172</v>
      </c>
      <c r="J44" t="s">
        <v>223</v>
      </c>
      <c r="K44">
        <v>-8.3620000000000001</v>
      </c>
      <c r="L44">
        <v>-0.90200000000000002</v>
      </c>
      <c r="M44">
        <v>1</v>
      </c>
      <c r="N44" t="s">
        <v>184</v>
      </c>
      <c r="O44">
        <v>1</v>
      </c>
      <c r="P44" t="s">
        <v>193</v>
      </c>
    </row>
    <row r="45" spans="1:20" x14ac:dyDescent="0.25">
      <c r="A45" t="s">
        <v>189</v>
      </c>
      <c r="B45">
        <v>1.8266000000000001E-9</v>
      </c>
      <c r="C45">
        <v>1.5368000000000001E-9</v>
      </c>
      <c r="D45">
        <v>-8.8130000000000006</v>
      </c>
      <c r="F45" t="s">
        <v>200</v>
      </c>
      <c r="G45">
        <v>38.875999999999998</v>
      </c>
      <c r="H45" t="s">
        <v>200</v>
      </c>
      <c r="J45" t="s">
        <v>222</v>
      </c>
      <c r="K45">
        <v>11.531000000000001</v>
      </c>
      <c r="L45">
        <v>-7.2629999999999999</v>
      </c>
      <c r="M45">
        <v>1</v>
      </c>
      <c r="N45" t="s">
        <v>184</v>
      </c>
      <c r="O45">
        <v>2</v>
      </c>
      <c r="P45" t="s">
        <v>212</v>
      </c>
      <c r="Q45">
        <v>-2</v>
      </c>
      <c r="R45" t="s">
        <v>192</v>
      </c>
    </row>
    <row r="46" spans="1:20" x14ac:dyDescent="0.25">
      <c r="A46" t="s">
        <v>184</v>
      </c>
      <c r="B46">
        <v>7.5001E-3</v>
      </c>
      <c r="C46">
        <v>3.7575999999999998E-3</v>
      </c>
      <c r="D46">
        <v>-2.4249999999999998</v>
      </c>
      <c r="G46">
        <v>59.845999999999997</v>
      </c>
      <c r="H46" t="s">
        <v>199</v>
      </c>
      <c r="J46" t="s">
        <v>221</v>
      </c>
      <c r="K46">
        <v>16.007000000000001</v>
      </c>
      <c r="L46">
        <v>-9.9930000000000003</v>
      </c>
      <c r="M46">
        <v>2</v>
      </c>
      <c r="N46" t="s">
        <v>184</v>
      </c>
      <c r="O46">
        <v>1</v>
      </c>
      <c r="P46" t="s">
        <v>194</v>
      </c>
      <c r="Q46">
        <v>-3</v>
      </c>
      <c r="R46" t="s">
        <v>192</v>
      </c>
      <c r="S46">
        <v>7</v>
      </c>
      <c r="T46" t="s">
        <v>212</v>
      </c>
    </row>
    <row r="47" spans="1:20" x14ac:dyDescent="0.25">
      <c r="A47" t="s">
        <v>183</v>
      </c>
      <c r="B47">
        <v>1.2680999999999998E-7</v>
      </c>
      <c r="C47">
        <v>6.3534999999999993E-8</v>
      </c>
      <c r="D47">
        <v>-7.1970000000000001</v>
      </c>
      <c r="G47">
        <v>0.52300000000000002</v>
      </c>
      <c r="H47" t="s">
        <v>195</v>
      </c>
      <c r="J47" t="s">
        <v>220</v>
      </c>
      <c r="K47">
        <v>-8.4730000000000008</v>
      </c>
      <c r="L47">
        <v>-3.9329999999999998</v>
      </c>
      <c r="M47">
        <v>1</v>
      </c>
      <c r="N47" t="s">
        <v>184</v>
      </c>
      <c r="O47">
        <v>1</v>
      </c>
      <c r="P47" t="s">
        <v>193</v>
      </c>
      <c r="Q47">
        <v>5</v>
      </c>
      <c r="R47" t="s">
        <v>212</v>
      </c>
    </row>
    <row r="48" spans="1:20" x14ac:dyDescent="0.25">
      <c r="A48" t="s">
        <v>182</v>
      </c>
      <c r="B48">
        <v>1.8297999999999998E-2</v>
      </c>
      <c r="C48">
        <v>1.5394999999999999E-2</v>
      </c>
      <c r="D48">
        <v>-1.8129999999999999</v>
      </c>
      <c r="G48">
        <v>0.72699999999999998</v>
      </c>
      <c r="H48" t="s">
        <v>197</v>
      </c>
      <c r="J48" t="s">
        <v>219</v>
      </c>
      <c r="K48">
        <v>-4.3769999999999998</v>
      </c>
      <c r="L48">
        <v>-3.2629999999999999</v>
      </c>
      <c r="M48">
        <v>2</v>
      </c>
      <c r="N48" t="s">
        <v>177</v>
      </c>
      <c r="O48">
        <v>1</v>
      </c>
      <c r="P48" t="s">
        <v>170</v>
      </c>
      <c r="Q48">
        <v>10</v>
      </c>
      <c r="R48" t="s">
        <v>212</v>
      </c>
    </row>
    <row r="49" spans="1:18" x14ac:dyDescent="0.25">
      <c r="A49" t="s">
        <v>181</v>
      </c>
      <c r="B49">
        <v>2.6924000000000003E-6</v>
      </c>
      <c r="C49">
        <v>3.6150000000000001E-6</v>
      </c>
      <c r="D49">
        <v>-5.4420000000000002</v>
      </c>
      <c r="G49">
        <v>2.8000000000000001E-2</v>
      </c>
      <c r="H49" t="s">
        <v>198</v>
      </c>
      <c r="J49" t="s">
        <v>218</v>
      </c>
      <c r="K49">
        <v>-6.5110000000000001</v>
      </c>
      <c r="L49">
        <v>-5.2</v>
      </c>
      <c r="M49">
        <v>2</v>
      </c>
      <c r="N49" t="s">
        <v>177</v>
      </c>
      <c r="O49">
        <v>1</v>
      </c>
      <c r="P49" t="s">
        <v>193</v>
      </c>
      <c r="Q49">
        <v>10</v>
      </c>
      <c r="R49" t="s">
        <v>212</v>
      </c>
    </row>
    <row r="50" spans="1:18" x14ac:dyDescent="0.25">
      <c r="A50" t="s">
        <v>180</v>
      </c>
      <c r="B50">
        <v>1.1302E-4</v>
      </c>
      <c r="C50">
        <v>9.5083000000000011E-5</v>
      </c>
      <c r="D50">
        <v>-4.0220000000000002</v>
      </c>
      <c r="F50" t="s">
        <v>184</v>
      </c>
      <c r="G50">
        <v>28.852</v>
      </c>
      <c r="H50" t="s">
        <v>184</v>
      </c>
      <c r="J50" t="s">
        <v>217</v>
      </c>
      <c r="K50">
        <v>-8.4280000000000008</v>
      </c>
      <c r="L50">
        <v>-3.758</v>
      </c>
      <c r="M50">
        <v>1</v>
      </c>
      <c r="N50" t="s">
        <v>184</v>
      </c>
      <c r="O50">
        <v>1</v>
      </c>
      <c r="P50" t="s">
        <v>193</v>
      </c>
      <c r="Q50">
        <v>3</v>
      </c>
      <c r="R50" t="s">
        <v>212</v>
      </c>
    </row>
    <row r="51" spans="1:18" x14ac:dyDescent="0.25">
      <c r="A51" t="s">
        <v>179</v>
      </c>
      <c r="B51">
        <v>1.6248999999999999E-7</v>
      </c>
      <c r="C51">
        <v>1.367E-7</v>
      </c>
      <c r="D51">
        <v>-6.8639999999999999</v>
      </c>
      <c r="G51">
        <v>70.393000000000001</v>
      </c>
      <c r="H51" t="s">
        <v>182</v>
      </c>
      <c r="J51" t="s">
        <v>216</v>
      </c>
      <c r="K51">
        <v>11.553000000000001</v>
      </c>
      <c r="L51">
        <v>-10.031000000000001</v>
      </c>
      <c r="M51">
        <v>-2</v>
      </c>
      <c r="N51" t="s">
        <v>192</v>
      </c>
      <c r="O51">
        <v>1</v>
      </c>
      <c r="P51" t="s">
        <v>184</v>
      </c>
      <c r="Q51">
        <v>1</v>
      </c>
      <c r="R51" t="s">
        <v>212</v>
      </c>
    </row>
    <row r="52" spans="1:18" x14ac:dyDescent="0.25">
      <c r="A52" t="s">
        <v>178</v>
      </c>
      <c r="B52">
        <v>8.0085000000000003E-5</v>
      </c>
      <c r="C52">
        <v>1.0753000000000001E-4</v>
      </c>
      <c r="D52">
        <v>-3.968</v>
      </c>
      <c r="G52">
        <v>0.308</v>
      </c>
      <c r="H52" t="s">
        <v>178</v>
      </c>
      <c r="J52" t="s">
        <v>215</v>
      </c>
      <c r="K52">
        <v>12.500999999999999</v>
      </c>
      <c r="L52">
        <v>-10.202999999999999</v>
      </c>
      <c r="M52">
        <v>1</v>
      </c>
      <c r="N52" t="s">
        <v>200</v>
      </c>
      <c r="O52">
        <v>2</v>
      </c>
      <c r="P52" t="s">
        <v>212</v>
      </c>
      <c r="Q52">
        <v>-2</v>
      </c>
      <c r="R52" t="s">
        <v>192</v>
      </c>
    </row>
    <row r="53" spans="1:18" x14ac:dyDescent="0.25">
      <c r="A53" t="s">
        <v>177</v>
      </c>
      <c r="B53">
        <v>0.79199000000000008</v>
      </c>
      <c r="C53">
        <v>0.66632000000000002</v>
      </c>
      <c r="D53">
        <v>-0.17599999999999999</v>
      </c>
      <c r="G53">
        <v>0.01</v>
      </c>
      <c r="H53" t="s">
        <v>181</v>
      </c>
      <c r="J53" t="s">
        <v>277</v>
      </c>
      <c r="K53">
        <v>-8.2479999999999993</v>
      </c>
      <c r="L53">
        <v>1.022</v>
      </c>
      <c r="M53">
        <v>1</v>
      </c>
      <c r="N53" t="s">
        <v>255</v>
      </c>
      <c r="O53">
        <v>1</v>
      </c>
      <c r="P53" t="s">
        <v>193</v>
      </c>
    </row>
    <row r="54" spans="1:18" x14ac:dyDescent="0.25">
      <c r="A54" t="s">
        <v>176</v>
      </c>
      <c r="B54">
        <v>0.25597000000000003</v>
      </c>
      <c r="C54">
        <v>0.34367000000000003</v>
      </c>
      <c r="D54">
        <v>-0.46400000000000002</v>
      </c>
      <c r="G54">
        <v>0.435</v>
      </c>
      <c r="H54" t="s">
        <v>180</v>
      </c>
      <c r="J54" t="s">
        <v>214</v>
      </c>
      <c r="K54">
        <v>-4.1559999999999997</v>
      </c>
      <c r="L54">
        <v>-4.4779999999999998</v>
      </c>
      <c r="M54">
        <v>2</v>
      </c>
      <c r="N54" t="s">
        <v>177</v>
      </c>
      <c r="O54">
        <v>1</v>
      </c>
      <c r="P54" t="s">
        <v>170</v>
      </c>
    </row>
    <row r="55" spans="1:18" x14ac:dyDescent="0.25">
      <c r="A55" t="s">
        <v>175</v>
      </c>
      <c r="B55">
        <v>1.7058000000000002E-5</v>
      </c>
      <c r="C55">
        <v>1.4351E-5</v>
      </c>
      <c r="D55">
        <v>-4.843</v>
      </c>
      <c r="F55" t="s">
        <v>287</v>
      </c>
      <c r="G55">
        <v>62.731000000000002</v>
      </c>
      <c r="H55" t="s">
        <v>287</v>
      </c>
      <c r="J55" t="s">
        <v>213</v>
      </c>
      <c r="K55">
        <v>-6.3120000000000003</v>
      </c>
      <c r="L55">
        <v>-6.9489999999999998</v>
      </c>
      <c r="M55">
        <v>2</v>
      </c>
      <c r="N55" t="s">
        <v>177</v>
      </c>
      <c r="O55">
        <v>1</v>
      </c>
      <c r="P55" t="s">
        <v>193</v>
      </c>
      <c r="Q55">
        <v>1</v>
      </c>
      <c r="R55" t="s">
        <v>212</v>
      </c>
    </row>
    <row r="56" spans="1:18" x14ac:dyDescent="0.25">
      <c r="A56" t="s">
        <v>174</v>
      </c>
      <c r="B56">
        <v>6.1364000000000004E-4</v>
      </c>
      <c r="C56">
        <v>8.2390999999999996E-4</v>
      </c>
      <c r="D56">
        <v>-3.0840000000000001</v>
      </c>
      <c r="G56">
        <v>35.878</v>
      </c>
      <c r="H56" t="s">
        <v>284</v>
      </c>
      <c r="J56" t="s">
        <v>211</v>
      </c>
      <c r="K56">
        <v>-7.3920000000000003</v>
      </c>
      <c r="L56">
        <v>0.52200000000000002</v>
      </c>
      <c r="M56">
        <v>1</v>
      </c>
      <c r="N56" t="s">
        <v>200</v>
      </c>
      <c r="O56">
        <v>1</v>
      </c>
      <c r="P56" t="s">
        <v>193</v>
      </c>
    </row>
    <row r="57" spans="1:18" x14ac:dyDescent="0.25">
      <c r="A57" t="s">
        <v>173</v>
      </c>
      <c r="B57">
        <v>5.9784000000000001E-8</v>
      </c>
      <c r="C57">
        <v>8.0269000000000002E-8</v>
      </c>
      <c r="D57">
        <v>-7.0949999999999998</v>
      </c>
      <c r="G57">
        <v>0.497</v>
      </c>
      <c r="H57" t="s">
        <v>283</v>
      </c>
      <c r="J57" t="s">
        <v>290</v>
      </c>
      <c r="K57">
        <v>-8.23</v>
      </c>
      <c r="L57">
        <v>0.34</v>
      </c>
      <c r="M57">
        <v>1</v>
      </c>
      <c r="N57" t="s">
        <v>287</v>
      </c>
      <c r="O57">
        <v>1</v>
      </c>
      <c r="P57" t="s">
        <v>193</v>
      </c>
    </row>
    <row r="58" spans="1:18" x14ac:dyDescent="0.25">
      <c r="A58" t="s">
        <v>172</v>
      </c>
      <c r="B58">
        <v>6.8442999999999998E-4</v>
      </c>
      <c r="C58">
        <v>5.7582E-4</v>
      </c>
      <c r="D58">
        <v>-3.24</v>
      </c>
      <c r="G58">
        <v>1.4E-2</v>
      </c>
      <c r="H58" t="s">
        <v>286</v>
      </c>
    </row>
    <row r="59" spans="1:18" x14ac:dyDescent="0.25">
      <c r="A59" t="s">
        <v>171</v>
      </c>
      <c r="B59">
        <v>1.1374E-7</v>
      </c>
      <c r="C59">
        <v>9.5689999999999992E-8</v>
      </c>
      <c r="D59">
        <v>-7.0190000000000001</v>
      </c>
      <c r="G59">
        <v>0.88</v>
      </c>
      <c r="H59" t="s">
        <v>285</v>
      </c>
    </row>
    <row r="60" spans="1:18" x14ac:dyDescent="0.25">
      <c r="A60" t="s">
        <v>170</v>
      </c>
      <c r="B60">
        <v>3.1388E-4</v>
      </c>
      <c r="C60">
        <v>1.5725E-4</v>
      </c>
      <c r="D60">
        <v>-3.8029999999999999</v>
      </c>
      <c r="F60" t="s">
        <v>255</v>
      </c>
      <c r="G60">
        <v>50.378</v>
      </c>
      <c r="H60" t="s">
        <v>255</v>
      </c>
    </row>
    <row r="61" spans="1:18" x14ac:dyDescent="0.25">
      <c r="A61" t="s">
        <v>255</v>
      </c>
      <c r="B61">
        <v>9.745199999999999E-3</v>
      </c>
      <c r="C61">
        <v>4.8823999999999994E-3</v>
      </c>
      <c r="D61">
        <v>-2.3109999999999999</v>
      </c>
      <c r="G61">
        <v>47.817999999999998</v>
      </c>
      <c r="H61" t="s">
        <v>254</v>
      </c>
    </row>
    <row r="62" spans="1:18" x14ac:dyDescent="0.25">
      <c r="A62" t="s">
        <v>254</v>
      </c>
      <c r="B62">
        <v>9.2499000000000001E-3</v>
      </c>
      <c r="C62">
        <v>7.7820999999999993E-3</v>
      </c>
      <c r="D62">
        <v>-2.109</v>
      </c>
      <c r="G62">
        <v>0.59</v>
      </c>
      <c r="H62" t="s">
        <v>248</v>
      </c>
    </row>
    <row r="63" spans="1:18" x14ac:dyDescent="0.25">
      <c r="A63" t="s">
        <v>253</v>
      </c>
      <c r="B63">
        <v>2.7156000000000003E-6</v>
      </c>
      <c r="C63">
        <v>3.6461000000000001E-6</v>
      </c>
      <c r="D63">
        <v>-5.4379999999999997</v>
      </c>
      <c r="G63">
        <v>1.4E-2</v>
      </c>
      <c r="H63" t="s">
        <v>253</v>
      </c>
    </row>
    <row r="64" spans="1:18" x14ac:dyDescent="0.25">
      <c r="A64" t="s">
        <v>250</v>
      </c>
      <c r="B64">
        <v>2.3220000000000001E-4</v>
      </c>
      <c r="C64">
        <v>1.9536E-4</v>
      </c>
      <c r="D64">
        <v>-3.7090000000000001</v>
      </c>
      <c r="G64">
        <v>1.2</v>
      </c>
      <c r="H64" t="s">
        <v>250</v>
      </c>
    </row>
    <row r="65" spans="1:8" x14ac:dyDescent="0.25">
      <c r="A65" t="s">
        <v>249</v>
      </c>
      <c r="B65">
        <v>3.6689E-9</v>
      </c>
      <c r="C65">
        <v>3.0868000000000001E-9</v>
      </c>
      <c r="D65">
        <v>-8.51</v>
      </c>
      <c r="F65" t="s">
        <v>194</v>
      </c>
      <c r="G65">
        <v>75.491</v>
      </c>
      <c r="H65" t="s">
        <v>194</v>
      </c>
    </row>
    <row r="66" spans="1:8" x14ac:dyDescent="0.25">
      <c r="A66" t="s">
        <v>248</v>
      </c>
      <c r="B66">
        <v>1.1410000000000001E-4</v>
      </c>
      <c r="C66">
        <v>1.5319000000000002E-4</v>
      </c>
      <c r="D66">
        <v>-3.8149999999999999</v>
      </c>
      <c r="G66">
        <v>6.6529999999999996</v>
      </c>
      <c r="H66" t="s">
        <v>199</v>
      </c>
    </row>
    <row r="67" spans="1:8" x14ac:dyDescent="0.25">
      <c r="G67">
        <v>0.35899999999999999</v>
      </c>
      <c r="H67" t="s">
        <v>284</v>
      </c>
    </row>
    <row r="68" spans="1:8" x14ac:dyDescent="0.25">
      <c r="G68">
        <v>0.57099999999999995</v>
      </c>
      <c r="H68" t="s">
        <v>254</v>
      </c>
    </row>
    <row r="69" spans="1:8" x14ac:dyDescent="0.25">
      <c r="G69">
        <v>1.129</v>
      </c>
      <c r="H69" t="s">
        <v>182</v>
      </c>
    </row>
    <row r="70" spans="1:8" x14ac:dyDescent="0.25">
      <c r="G70">
        <v>15.797000000000001</v>
      </c>
      <c r="H70" t="s">
        <v>176</v>
      </c>
    </row>
    <row r="71" spans="1:8" x14ac:dyDescent="0.25">
      <c r="F71" t="s">
        <v>271</v>
      </c>
      <c r="G71">
        <v>100</v>
      </c>
      <c r="H71" t="s">
        <v>271</v>
      </c>
    </row>
    <row r="72" spans="1:8" x14ac:dyDescent="0.25">
      <c r="F72" t="s">
        <v>170</v>
      </c>
      <c r="G72">
        <v>14.175000000000001</v>
      </c>
      <c r="H72" t="s">
        <v>170</v>
      </c>
    </row>
    <row r="73" spans="1:8" x14ac:dyDescent="0.25">
      <c r="G73">
        <v>3.617</v>
      </c>
      <c r="H73" t="s">
        <v>178</v>
      </c>
    </row>
    <row r="74" spans="1:8" x14ac:dyDescent="0.25">
      <c r="G74">
        <v>42.514000000000003</v>
      </c>
      <c r="H74" t="s">
        <v>195</v>
      </c>
    </row>
    <row r="75" spans="1:8" x14ac:dyDescent="0.25">
      <c r="G75">
        <v>5.1529999999999996</v>
      </c>
      <c r="H75" t="s">
        <v>248</v>
      </c>
    </row>
    <row r="76" spans="1:8" x14ac:dyDescent="0.25">
      <c r="G76">
        <v>30.91</v>
      </c>
      <c r="H76" t="s">
        <v>172</v>
      </c>
    </row>
    <row r="77" spans="1:8" x14ac:dyDescent="0.25">
      <c r="G77">
        <v>3.6309999999999998</v>
      </c>
      <c r="H77" t="s">
        <v>283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workbookViewId="0">
      <selection activeCell="C32" sqref="C32"/>
    </sheetView>
  </sheetViews>
  <sheetFormatPr defaultRowHeight="15.75" x14ac:dyDescent="0.25"/>
  <cols>
    <col min="1" max="1" width="18.125" bestFit="1" customWidth="1"/>
    <col min="4" max="4" width="20.5" customWidth="1"/>
    <col min="5" max="5" width="30.25" bestFit="1" customWidth="1"/>
    <col min="6" max="6" width="18.125" bestFit="1" customWidth="1"/>
    <col min="9" max="9" width="14.125" bestFit="1" customWidth="1"/>
    <col min="12" max="12" width="9" style="3"/>
  </cols>
  <sheetData>
    <row r="1" spans="1:16" x14ac:dyDescent="0.25">
      <c r="A1" t="s">
        <v>108</v>
      </c>
      <c r="E1" t="s">
        <v>89</v>
      </c>
      <c r="F1" t="s">
        <v>88</v>
      </c>
      <c r="G1" t="s">
        <v>81</v>
      </c>
      <c r="I1" t="s">
        <v>113</v>
      </c>
      <c r="J1" t="s">
        <v>110</v>
      </c>
      <c r="K1" t="s">
        <v>111</v>
      </c>
      <c r="L1" s="3" t="s">
        <v>112</v>
      </c>
      <c r="N1" t="s">
        <v>164</v>
      </c>
      <c r="O1" t="s">
        <v>167</v>
      </c>
      <c r="P1" t="s">
        <v>168</v>
      </c>
    </row>
    <row r="2" spans="1:16" x14ac:dyDescent="0.25">
      <c r="A2" t="s">
        <v>27</v>
      </c>
      <c r="B2">
        <v>605.41685211477329</v>
      </c>
      <c r="E2" t="s">
        <v>15</v>
      </c>
      <c r="F2" t="s">
        <v>27</v>
      </c>
      <c r="G2">
        <f>B2+B12</f>
        <v>851.74203309717325</v>
      </c>
      <c r="H2" t="s">
        <v>87</v>
      </c>
      <c r="I2" t="s">
        <v>114</v>
      </c>
      <c r="J2" t="s">
        <v>115</v>
      </c>
      <c r="K2">
        <v>1</v>
      </c>
      <c r="L2" s="4">
        <v>14.97</v>
      </c>
      <c r="N2" t="s">
        <v>165</v>
      </c>
    </row>
    <row r="3" spans="1:16" x14ac:dyDescent="0.25">
      <c r="A3" t="s">
        <v>72</v>
      </c>
      <c r="B3">
        <v>264.84382454214278</v>
      </c>
      <c r="E3" t="s">
        <v>90</v>
      </c>
      <c r="F3" t="s">
        <v>92</v>
      </c>
      <c r="G3">
        <f>B20+B3</f>
        <v>278.46318251774278</v>
      </c>
      <c r="H3" t="s">
        <v>87</v>
      </c>
      <c r="I3" t="s">
        <v>152</v>
      </c>
      <c r="J3" t="s">
        <v>150</v>
      </c>
      <c r="K3">
        <v>1</v>
      </c>
      <c r="L3" s="4">
        <v>59.48</v>
      </c>
      <c r="N3" t="s">
        <v>165</v>
      </c>
    </row>
    <row r="4" spans="1:16" x14ac:dyDescent="0.25">
      <c r="A4" t="s">
        <v>73</v>
      </c>
      <c r="B4">
        <v>52.864115202633208</v>
      </c>
      <c r="E4" t="s">
        <v>91</v>
      </c>
      <c r="F4" t="s">
        <v>93</v>
      </c>
      <c r="G4">
        <f>B4+B19</f>
        <v>163.15194243663319</v>
      </c>
      <c r="H4" t="s">
        <v>87</v>
      </c>
      <c r="I4" t="s">
        <v>151</v>
      </c>
      <c r="J4" t="s">
        <v>116</v>
      </c>
      <c r="K4">
        <v>1</v>
      </c>
      <c r="L4" s="4">
        <v>21</v>
      </c>
      <c r="N4" t="s">
        <v>165</v>
      </c>
    </row>
    <row r="5" spans="1:16" x14ac:dyDescent="0.25">
      <c r="A5" t="s">
        <v>74</v>
      </c>
      <c r="B5">
        <v>39.558201373364305</v>
      </c>
      <c r="E5" t="s">
        <v>94</v>
      </c>
      <c r="F5" t="s">
        <v>96</v>
      </c>
      <c r="G5">
        <f>B5</f>
        <v>39.558201373364305</v>
      </c>
      <c r="H5" t="s">
        <v>87</v>
      </c>
      <c r="I5" t="s">
        <v>118</v>
      </c>
      <c r="J5" t="s">
        <v>119</v>
      </c>
      <c r="K5">
        <v>2</v>
      </c>
      <c r="L5" s="4">
        <f>K5*20.07</f>
        <v>40.14</v>
      </c>
      <c r="N5" t="s">
        <v>165</v>
      </c>
    </row>
    <row r="6" spans="1:16" x14ac:dyDescent="0.25">
      <c r="A6" t="s">
        <v>75</v>
      </c>
      <c r="B6">
        <v>51.576594384843631</v>
      </c>
      <c r="E6" t="s">
        <v>95</v>
      </c>
      <c r="F6" t="s">
        <v>97</v>
      </c>
      <c r="G6">
        <f>B6+B21</f>
        <v>51.823031250843634</v>
      </c>
      <c r="H6" t="s">
        <v>87</v>
      </c>
      <c r="I6" t="s">
        <v>166</v>
      </c>
      <c r="J6" t="s">
        <v>119</v>
      </c>
      <c r="K6">
        <v>2</v>
      </c>
      <c r="L6" s="4">
        <f>K6*32.95</f>
        <v>65.900000000000006</v>
      </c>
      <c r="N6" t="s">
        <v>165</v>
      </c>
    </row>
    <row r="7" spans="1:16" x14ac:dyDescent="0.25">
      <c r="A7" t="s">
        <v>76</v>
      </c>
      <c r="B7">
        <v>8.8844318181818167</v>
      </c>
      <c r="E7" t="s">
        <v>98</v>
      </c>
      <c r="F7" t="s">
        <v>99</v>
      </c>
      <c r="G7">
        <f>B7</f>
        <v>8.8844318181818167</v>
      </c>
      <c r="H7" t="s">
        <v>87</v>
      </c>
      <c r="I7" t="s">
        <v>146</v>
      </c>
      <c r="J7" t="s">
        <v>119</v>
      </c>
      <c r="K7">
        <v>1</v>
      </c>
      <c r="L7" s="4">
        <v>22.71</v>
      </c>
      <c r="M7" t="s">
        <v>147</v>
      </c>
      <c r="N7" t="s">
        <v>165</v>
      </c>
    </row>
    <row r="8" spans="1:16" x14ac:dyDescent="0.25">
      <c r="A8" t="s">
        <v>77</v>
      </c>
      <c r="B8">
        <v>2.3812012074528988</v>
      </c>
      <c r="E8" t="s">
        <v>100</v>
      </c>
      <c r="F8" t="s">
        <v>101</v>
      </c>
      <c r="G8">
        <f>B8+B13</f>
        <v>95.827191767452902</v>
      </c>
      <c r="H8" t="s">
        <v>87</v>
      </c>
      <c r="I8" t="s">
        <v>148</v>
      </c>
      <c r="J8" t="s">
        <v>116</v>
      </c>
      <c r="K8">
        <v>1</v>
      </c>
      <c r="L8" s="4">
        <v>33.53</v>
      </c>
      <c r="M8" t="s">
        <v>147</v>
      </c>
      <c r="N8" t="s">
        <v>165</v>
      </c>
    </row>
    <row r="9" spans="1:16" x14ac:dyDescent="0.25">
      <c r="A9" t="s">
        <v>31</v>
      </c>
      <c r="B9">
        <v>2.3098350274954176</v>
      </c>
      <c r="E9" t="s">
        <v>102</v>
      </c>
      <c r="F9" t="s">
        <v>31</v>
      </c>
      <c r="G9">
        <f>B9+B15</f>
        <v>4.0784764019954176</v>
      </c>
      <c r="H9" t="s">
        <v>87</v>
      </c>
      <c r="I9" t="s">
        <v>149</v>
      </c>
      <c r="J9" t="s">
        <v>150</v>
      </c>
      <c r="K9">
        <v>1</v>
      </c>
      <c r="L9" s="4">
        <v>22.5</v>
      </c>
      <c r="N9" t="s">
        <v>165</v>
      </c>
    </row>
    <row r="10" spans="1:16" x14ac:dyDescent="0.25">
      <c r="E10" t="s">
        <v>12</v>
      </c>
      <c r="F10" t="s">
        <v>28</v>
      </c>
      <c r="G10">
        <v>7.1744201945000006</v>
      </c>
      <c r="H10" t="s">
        <v>87</v>
      </c>
      <c r="I10" t="s">
        <v>153</v>
      </c>
      <c r="J10" t="s">
        <v>116</v>
      </c>
      <c r="K10">
        <v>1</v>
      </c>
      <c r="L10" s="4">
        <v>22.56</v>
      </c>
      <c r="N10" t="s">
        <v>165</v>
      </c>
    </row>
    <row r="11" spans="1:16" x14ac:dyDescent="0.25">
      <c r="A11" t="s">
        <v>109</v>
      </c>
      <c r="E11" t="s">
        <v>103</v>
      </c>
      <c r="F11" t="s">
        <v>32</v>
      </c>
      <c r="G11">
        <v>1.0266409608</v>
      </c>
      <c r="H11" t="s">
        <v>87</v>
      </c>
      <c r="I11" t="s">
        <v>154</v>
      </c>
      <c r="J11" t="s">
        <v>117</v>
      </c>
      <c r="K11">
        <v>1</v>
      </c>
      <c r="L11" s="4">
        <v>67.92</v>
      </c>
      <c r="N11" t="s">
        <v>165</v>
      </c>
    </row>
    <row r="12" spans="1:16" x14ac:dyDescent="0.25">
      <c r="A12" t="s">
        <v>27</v>
      </c>
      <c r="B12">
        <v>246.32518098239996</v>
      </c>
      <c r="E12" t="s">
        <v>104</v>
      </c>
      <c r="F12" t="s">
        <v>33</v>
      </c>
      <c r="G12">
        <v>0.26035684453999997</v>
      </c>
      <c r="H12" t="s">
        <v>87</v>
      </c>
      <c r="I12" t="s">
        <v>155</v>
      </c>
      <c r="J12" t="s">
        <v>116</v>
      </c>
      <c r="K12">
        <v>1</v>
      </c>
      <c r="L12" s="4">
        <v>22.19</v>
      </c>
      <c r="N12" t="s">
        <v>165</v>
      </c>
    </row>
    <row r="13" spans="1:16" x14ac:dyDescent="0.25">
      <c r="A13" t="s">
        <v>48</v>
      </c>
      <c r="B13">
        <v>93.445990559999998</v>
      </c>
      <c r="E13" t="s">
        <v>105</v>
      </c>
      <c r="F13" t="s">
        <v>34</v>
      </c>
      <c r="G13">
        <v>3.0185316979999998E-2</v>
      </c>
      <c r="H13" t="s">
        <v>87</v>
      </c>
      <c r="I13" t="s">
        <v>156</v>
      </c>
      <c r="J13" t="s">
        <v>157</v>
      </c>
      <c r="K13">
        <v>1</v>
      </c>
      <c r="L13" s="4">
        <v>43.23</v>
      </c>
      <c r="N13" t="s">
        <v>165</v>
      </c>
    </row>
    <row r="14" spans="1:16" x14ac:dyDescent="0.25">
      <c r="A14" t="s">
        <v>28</v>
      </c>
      <c r="B14">
        <v>7.1744201945000006</v>
      </c>
      <c r="E14" t="s">
        <v>106</v>
      </c>
      <c r="F14" t="s">
        <v>82</v>
      </c>
      <c r="G14">
        <v>20</v>
      </c>
      <c r="H14" t="s">
        <v>87</v>
      </c>
      <c r="I14" t="s">
        <v>162</v>
      </c>
      <c r="J14" t="s">
        <v>157</v>
      </c>
      <c r="K14">
        <v>1</v>
      </c>
      <c r="L14" s="4">
        <v>94.5</v>
      </c>
      <c r="N14" t="s">
        <v>165</v>
      </c>
    </row>
    <row r="15" spans="1:16" x14ac:dyDescent="0.25">
      <c r="A15" t="s">
        <v>31</v>
      </c>
      <c r="B15">
        <v>1.7686413745</v>
      </c>
      <c r="E15" t="s">
        <v>13</v>
      </c>
      <c r="F15" t="s">
        <v>83</v>
      </c>
      <c r="G15">
        <v>20</v>
      </c>
      <c r="H15" t="s">
        <v>87</v>
      </c>
      <c r="I15" t="s">
        <v>158</v>
      </c>
      <c r="J15" t="s">
        <v>119</v>
      </c>
      <c r="K15">
        <v>1</v>
      </c>
      <c r="L15" s="4">
        <v>25.98</v>
      </c>
      <c r="N15" t="s">
        <v>165</v>
      </c>
    </row>
    <row r="16" spans="1:16" x14ac:dyDescent="0.25">
      <c r="A16" t="s">
        <v>32</v>
      </c>
      <c r="B16">
        <v>1.0266409608</v>
      </c>
      <c r="E16" t="s">
        <v>17</v>
      </c>
      <c r="F16" t="s">
        <v>85</v>
      </c>
      <c r="G16">
        <v>1</v>
      </c>
      <c r="H16" t="s">
        <v>87</v>
      </c>
      <c r="I16" t="s">
        <v>159</v>
      </c>
      <c r="J16" t="s">
        <v>157</v>
      </c>
      <c r="K16">
        <v>1</v>
      </c>
      <c r="L16" s="4">
        <v>32.46</v>
      </c>
      <c r="N16" t="s">
        <v>165</v>
      </c>
    </row>
    <row r="17" spans="1:14" x14ac:dyDescent="0.25">
      <c r="A17" t="s">
        <v>33</v>
      </c>
      <c r="B17">
        <v>0.26035684453999997</v>
      </c>
      <c r="E17" t="s">
        <v>107</v>
      </c>
      <c r="F17" t="s">
        <v>84</v>
      </c>
      <c r="G17">
        <v>1</v>
      </c>
      <c r="H17" t="s">
        <v>87</v>
      </c>
      <c r="I17" t="s">
        <v>161</v>
      </c>
      <c r="J17" t="s">
        <v>116</v>
      </c>
      <c r="K17">
        <v>1</v>
      </c>
      <c r="L17" s="4">
        <v>14.16</v>
      </c>
      <c r="N17" t="s">
        <v>165</v>
      </c>
    </row>
    <row r="18" spans="1:14" x14ac:dyDescent="0.25">
      <c r="A18" t="s">
        <v>34</v>
      </c>
      <c r="B18">
        <v>3.0185316979999998E-2</v>
      </c>
      <c r="E18" t="s">
        <v>18</v>
      </c>
      <c r="F18" t="s">
        <v>86</v>
      </c>
      <c r="G18">
        <v>1</v>
      </c>
      <c r="H18" t="s">
        <v>87</v>
      </c>
      <c r="I18" t="s">
        <v>160</v>
      </c>
      <c r="J18" t="s">
        <v>157</v>
      </c>
      <c r="K18">
        <v>1</v>
      </c>
      <c r="L18" s="4">
        <v>25.98</v>
      </c>
      <c r="N18" t="s">
        <v>165</v>
      </c>
    </row>
    <row r="19" spans="1:14" x14ac:dyDescent="0.25">
      <c r="A19" t="s">
        <v>45</v>
      </c>
      <c r="B19">
        <v>110.28782723399998</v>
      </c>
      <c r="E19" t="s">
        <v>120</v>
      </c>
      <c r="F19" t="s">
        <v>121</v>
      </c>
      <c r="I19" s="5" t="s">
        <v>122</v>
      </c>
      <c r="J19" t="s">
        <v>144</v>
      </c>
      <c r="K19">
        <v>2</v>
      </c>
      <c r="L19">
        <f>15.97*K19</f>
        <v>31.94</v>
      </c>
      <c r="N19" t="s">
        <v>165</v>
      </c>
    </row>
    <row r="20" spans="1:14" x14ac:dyDescent="0.25">
      <c r="A20" t="s">
        <v>46</v>
      </c>
      <c r="B20">
        <v>13.6193579756</v>
      </c>
      <c r="E20" t="s">
        <v>123</v>
      </c>
      <c r="F20" t="s">
        <v>124</v>
      </c>
      <c r="I20" s="6" t="s">
        <v>125</v>
      </c>
      <c r="J20" t="s">
        <v>144</v>
      </c>
      <c r="K20">
        <v>1</v>
      </c>
      <c r="L20" s="4">
        <v>83.05</v>
      </c>
      <c r="N20" t="s">
        <v>165</v>
      </c>
    </row>
    <row r="21" spans="1:14" x14ac:dyDescent="0.25">
      <c r="A21" t="s">
        <v>47</v>
      </c>
      <c r="B21">
        <v>0.24643686599999998</v>
      </c>
      <c r="E21" t="s">
        <v>126</v>
      </c>
      <c r="F21" t="s">
        <v>127</v>
      </c>
      <c r="I21" s="7" t="s">
        <v>128</v>
      </c>
      <c r="J21" t="s">
        <v>144</v>
      </c>
      <c r="K21">
        <v>1</v>
      </c>
      <c r="L21" s="8">
        <v>16.79</v>
      </c>
      <c r="N21" t="s">
        <v>165</v>
      </c>
    </row>
    <row r="22" spans="1:14" x14ac:dyDescent="0.25">
      <c r="E22" t="s">
        <v>129</v>
      </c>
      <c r="F22" t="s">
        <v>130</v>
      </c>
      <c r="I22" s="5" t="s">
        <v>131</v>
      </c>
      <c r="J22" t="s">
        <v>144</v>
      </c>
      <c r="K22">
        <v>1</v>
      </c>
      <c r="L22" s="4">
        <v>22.33</v>
      </c>
      <c r="N22" t="s">
        <v>165</v>
      </c>
    </row>
    <row r="23" spans="1:14" x14ac:dyDescent="0.25">
      <c r="A23" t="s">
        <v>80</v>
      </c>
      <c r="E23" t="s">
        <v>132</v>
      </c>
      <c r="F23" t="s">
        <v>133</v>
      </c>
      <c r="I23" s="5" t="s">
        <v>134</v>
      </c>
      <c r="J23" t="s">
        <v>145</v>
      </c>
      <c r="K23">
        <v>1</v>
      </c>
      <c r="L23" s="4">
        <v>17.12</v>
      </c>
      <c r="N23" t="s">
        <v>165</v>
      </c>
    </row>
    <row r="24" spans="1:14" x14ac:dyDescent="0.25">
      <c r="A24" t="s">
        <v>83</v>
      </c>
      <c r="B24">
        <v>20</v>
      </c>
      <c r="E24" t="s">
        <v>135</v>
      </c>
      <c r="F24" t="s">
        <v>136</v>
      </c>
      <c r="I24" s="6" t="s">
        <v>137</v>
      </c>
      <c r="J24" t="s">
        <v>116</v>
      </c>
      <c r="K24">
        <v>1</v>
      </c>
      <c r="L24" s="8">
        <v>24.68</v>
      </c>
      <c r="N24" t="s">
        <v>165</v>
      </c>
    </row>
    <row r="25" spans="1:14" x14ac:dyDescent="0.25">
      <c r="A25" t="s">
        <v>85</v>
      </c>
      <c r="B25">
        <v>1</v>
      </c>
      <c r="E25" t="s">
        <v>138</v>
      </c>
      <c r="F25" t="s">
        <v>139</v>
      </c>
      <c r="I25" s="9" t="s">
        <v>140</v>
      </c>
      <c r="J25" t="s">
        <v>116</v>
      </c>
      <c r="K25">
        <v>2</v>
      </c>
      <c r="L25">
        <f>17.39*K25</f>
        <v>34.78</v>
      </c>
      <c r="N25" t="s">
        <v>165</v>
      </c>
    </row>
    <row r="26" spans="1:14" x14ac:dyDescent="0.25">
      <c r="A26" t="s">
        <v>84</v>
      </c>
      <c r="B26">
        <v>1</v>
      </c>
      <c r="E26" t="s">
        <v>141</v>
      </c>
      <c r="F26" t="s">
        <v>142</v>
      </c>
      <c r="I26" s="5" t="s">
        <v>143</v>
      </c>
      <c r="J26" t="s">
        <v>116</v>
      </c>
      <c r="K26">
        <v>1</v>
      </c>
      <c r="L26" s="8">
        <v>68.28</v>
      </c>
      <c r="N26" t="s">
        <v>165</v>
      </c>
    </row>
    <row r="27" spans="1:14" x14ac:dyDescent="0.25">
      <c r="A27" t="s">
        <v>86</v>
      </c>
      <c r="B27">
        <v>1</v>
      </c>
      <c r="L27"/>
    </row>
    <row r="28" spans="1:14" x14ac:dyDescent="0.25">
      <c r="I28" t="s">
        <v>163</v>
      </c>
      <c r="L28" s="4">
        <f>SUM(L2:L26)</f>
        <v>928.18000000000006</v>
      </c>
    </row>
    <row r="29" spans="1:14" x14ac:dyDescent="0.25">
      <c r="L29" s="4"/>
    </row>
    <row r="30" spans="1:14" x14ac:dyDescent="0.25">
      <c r="L30" s="4"/>
    </row>
    <row r="31" spans="1:14" x14ac:dyDescent="0.25">
      <c r="L31" s="4"/>
    </row>
  </sheetData>
  <pageMargins left="0.7" right="0.7" top="0.75" bottom="0.75" header="0.3" footer="0.3"/>
  <pageSetup scale="5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GW Recipe</vt:lpstr>
      <vt:lpstr>SW Recipe</vt:lpstr>
      <vt:lpstr>Brine "Recipe"</vt:lpstr>
      <vt:lpstr>Chemical Ordering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Kocar</dc:creator>
  <cp:lastModifiedBy>Michael Chen</cp:lastModifiedBy>
  <cp:lastPrinted>2014-08-01T17:24:34Z</cp:lastPrinted>
  <dcterms:created xsi:type="dcterms:W3CDTF">2014-07-10T13:33:16Z</dcterms:created>
  <dcterms:modified xsi:type="dcterms:W3CDTF">2014-08-18T22:04:09Z</dcterms:modified>
</cp:coreProperties>
</file>