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CaCl2Oxic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2" i="5"/>
  <c r="R3" i="5"/>
  <c r="R4" i="5"/>
  <c r="R5" i="5"/>
  <c r="R6" i="5"/>
  <c r="R7" i="5"/>
  <c r="R8" i="5"/>
  <c r="R9" i="5"/>
  <c r="R10" i="5"/>
  <c r="R11" i="5"/>
  <c r="R12" i="5"/>
  <c r="R13" i="5"/>
  <c r="R2" i="5"/>
  <c r="Q3" i="5"/>
  <c r="Q4" i="5"/>
  <c r="Q5" i="5"/>
  <c r="Q6" i="5"/>
  <c r="Q7" i="5"/>
  <c r="Q8" i="5"/>
  <c r="Q9" i="5"/>
  <c r="Q10" i="5"/>
  <c r="Q11" i="5"/>
  <c r="Q12" i="5"/>
  <c r="Q13" i="5"/>
  <c r="Q2" i="5"/>
  <c r="P3" i="5"/>
  <c r="P4" i="5"/>
  <c r="P5" i="5"/>
  <c r="P6" i="5"/>
  <c r="P7" i="5"/>
  <c r="P8" i="5"/>
  <c r="P9" i="5"/>
  <c r="P10" i="5"/>
  <c r="P11" i="5"/>
  <c r="P12" i="5"/>
  <c r="P13" i="5"/>
  <c r="P2" i="5"/>
  <c r="O3" i="5"/>
  <c r="O4" i="5"/>
  <c r="O5" i="5"/>
  <c r="O6" i="5"/>
  <c r="O7" i="5"/>
  <c r="O8" i="5"/>
  <c r="O9" i="5"/>
  <c r="O10" i="5"/>
  <c r="O11" i="5"/>
  <c r="O12" i="5"/>
  <c r="O13" i="5"/>
  <c r="O2" i="5"/>
  <c r="N3" i="5"/>
  <c r="N4" i="5"/>
  <c r="N5" i="5"/>
  <c r="N6" i="5"/>
  <c r="N7" i="5"/>
  <c r="N8" i="5"/>
  <c r="N9" i="5"/>
  <c r="N10" i="5"/>
  <c r="N11" i="5"/>
  <c r="N12" i="5"/>
  <c r="N13" i="5"/>
  <c r="N2" i="5"/>
  <c r="K3" i="5"/>
  <c r="K4" i="5"/>
  <c r="K5" i="5"/>
  <c r="K6" i="5"/>
  <c r="K7" i="5"/>
  <c r="K8" i="5"/>
  <c r="K9" i="5"/>
  <c r="K10" i="5"/>
  <c r="K11" i="5"/>
  <c r="K12" i="5"/>
  <c r="K13" i="5"/>
  <c r="K2" i="5"/>
  <c r="B9" i="1"/>
  <c r="B8" i="1"/>
  <c r="J3" i="5"/>
  <c r="J4" i="5"/>
  <c r="J5" i="5"/>
  <c r="J6" i="5"/>
  <c r="J7" i="5"/>
  <c r="J8" i="5"/>
  <c r="J9" i="5"/>
  <c r="J10" i="5"/>
  <c r="J11" i="5"/>
  <c r="J12" i="5"/>
  <c r="J13" i="5"/>
  <c r="J2" i="5"/>
  <c r="G7" i="5"/>
  <c r="G6" i="5"/>
  <c r="G5" i="5"/>
  <c r="F7" i="5"/>
  <c r="F6" i="5"/>
  <c r="F5" i="5"/>
  <c r="L5" i="8" l="1"/>
  <c r="L4" i="8"/>
  <c r="L3" i="8"/>
  <c r="K5" i="8"/>
  <c r="K4" i="8"/>
  <c r="K3" i="8"/>
  <c r="J5" i="8"/>
  <c r="L2" i="8"/>
  <c r="K2" i="8"/>
  <c r="C6" i="1" l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G6" i="10" l="1"/>
  <c r="I6" i="10" s="1"/>
  <c r="I9" i="10"/>
  <c r="I8" i="10"/>
  <c r="G7" i="10"/>
  <c r="I7" i="10" s="1"/>
  <c r="G5" i="10"/>
  <c r="K5" i="10" s="1"/>
  <c r="K9" i="10"/>
  <c r="G4" i="10"/>
  <c r="K4" i="10" s="1"/>
  <c r="K8" i="10"/>
  <c r="H5" i="10"/>
  <c r="G3" i="10"/>
  <c r="K3" i="10" s="1"/>
  <c r="H4" i="10"/>
  <c r="H3" i="10"/>
  <c r="K7" i="10" l="1"/>
  <c r="I4" i="10"/>
  <c r="I5" i="10"/>
  <c r="I3" i="10"/>
  <c r="K6" i="10"/>
  <c r="K11" i="10" s="1"/>
  <c r="J4" i="8"/>
  <c r="J3" i="8"/>
  <c r="I5" i="8"/>
  <c r="I4" i="8"/>
  <c r="I3" i="8"/>
  <c r="J2" i="8"/>
  <c r="I2" i="8"/>
  <c r="I11" i="10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M2" i="8" l="1"/>
  <c r="M5" i="8"/>
  <c r="M4" i="8"/>
  <c r="M3" i="8"/>
  <c r="F4" i="8"/>
  <c r="F5" i="8" l="1"/>
  <c r="F2" i="8"/>
  <c r="F3" i="8"/>
  <c r="B4" i="8"/>
  <c r="C4" i="8"/>
  <c r="G5" i="8"/>
  <c r="C3" i="8"/>
  <c r="B3" i="8"/>
  <c r="C5" i="8"/>
  <c r="B5" i="8"/>
  <c r="H3" i="8" l="1"/>
  <c r="H5" i="8"/>
  <c r="G3" i="8"/>
  <c r="D3" i="8"/>
  <c r="G4" i="8"/>
  <c r="H4" i="8"/>
  <c r="E3" i="8"/>
  <c r="C2" i="8"/>
  <c r="B2" i="8"/>
  <c r="D5" i="8"/>
  <c r="E5" i="8"/>
  <c r="D4" i="8"/>
  <c r="E4" i="8"/>
  <c r="G2" i="8" l="1"/>
  <c r="H2" i="8"/>
  <c r="E2" i="8"/>
  <c r="D2" i="8"/>
</calcChain>
</file>

<file path=xl/sharedStrings.xml><?xml version="1.0" encoding="utf-8"?>
<sst xmlns="http://schemas.openxmlformats.org/spreadsheetml/2006/main" count="239" uniqueCount="131">
  <si>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</si>
  <si>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</si>
  <si>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</si>
  <si>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</si>
  <si>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</si>
  <si>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</si>
  <si>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</si>
  <si>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</si>
  <si>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</si>
  <si>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</si>
  <si>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</si>
  <si>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</si>
  <si>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</si>
  <si>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</si>
  <si>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</si>
  <si>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</si>
  <si>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</si>
  <si>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</si>
  <si>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</si>
  <si>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</si>
  <si>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</si>
  <si>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</si>
  <si>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</si>
  <si>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</si>
  <si>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</si>
  <si>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</si>
  <si>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</si>
  <si>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</si>
  <si>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</si>
  <si>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</si>
  <si>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</si>
  <si>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</si>
  <si>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</si>
  <si>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</si>
  <si>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</si>
  <si>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</si>
  <si>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</si>
  <si>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</si>
  <si>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</si>
  <si>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</si>
  <si>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</si>
  <si>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</si>
  <si>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</si>
  <si>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</si>
  <si>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</si>
  <si>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</si>
  <si>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</si>
  <si>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</si>
  <si>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</si>
  <si>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</si>
  <si>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</si>
  <si>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</si>
  <si>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</si>
  <si>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</si>
  <si>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</si>
  <si>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</si>
  <si>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</si>
  <si>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</si>
  <si>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</si>
  <si>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</si>
  <si>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</si>
  <si>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</si>
  <si>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</si>
  <si>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</si>
  <si>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</si>
  <si>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</si>
  <si>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</si>
  <si>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</si>
  <si>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</si>
  <si>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</si>
  <si>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</si>
  <si>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</si>
  <si>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</si>
  <si>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</si>
  <si>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</si>
  <si>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</si>
  <si>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</si>
  <si>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</si>
  <si>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</si>
  <si>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</si>
  <si>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</si>
  <si>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</si>
  <si>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</si>
  <si>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</si>
  <si>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</si>
  <si>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</si>
  <si>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</si>
  <si>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</si>
  <si>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</si>
  <si>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</si>
  <si>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</si>
  <si>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</si>
  <si>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</si>
  <si>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</si>
  <si>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</si>
  <si>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</si>
  <si>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</si>
  <si>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</si>
  <si>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</si>
  <si>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</si>
  <si>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</si>
  <si>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</si>
  <si>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</si>
  <si>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</si>
  <si>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</si>
  <si>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Multiple</t>
  </si>
  <si>
    <t>Initial Stock</t>
  </si>
  <si>
    <t>Final Stock</t>
  </si>
  <si>
    <t>FHY Slurry</t>
  </si>
  <si>
    <t>g/L Mineral</t>
  </si>
  <si>
    <t>Slurry Volume (mL)</t>
  </si>
  <si>
    <t>Counted Volume (mL)</t>
  </si>
  <si>
    <t>Counted Volume Error (mL)</t>
  </si>
  <si>
    <t>CaCl2 Initial</t>
  </si>
  <si>
    <t>CaCl2 Final</t>
  </si>
  <si>
    <t>RaGlassCaCl2_1A</t>
  </si>
  <si>
    <t>RaGlassCaCl2_1B</t>
  </si>
  <si>
    <t>RaGlassCaCl2_1C</t>
  </si>
  <si>
    <t>RaFHYCaCl2_1A</t>
  </si>
  <si>
    <t>RaFHYCaCl2_1B</t>
  </si>
  <si>
    <t>RaFHYCaCl2_1C</t>
  </si>
  <si>
    <t>RaMontCaCl2_1A</t>
  </si>
  <si>
    <t>RaMontCaCl2_1B</t>
  </si>
  <si>
    <t>RaMontCaCl2_1C</t>
  </si>
  <si>
    <t>RaGOECaCl2_1A</t>
  </si>
  <si>
    <t>RaGOECaCl2_1B</t>
  </si>
  <si>
    <t>RaGOECaCl2_1C</t>
  </si>
  <si>
    <t>RaGlassCaCl2_1</t>
  </si>
  <si>
    <t>RaFHYCaCl2_1</t>
  </si>
  <si>
    <t>RaMontCaCl2_1</t>
  </si>
  <si>
    <t>RaGOECaCl2_1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</si>
</sst>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2728"/>
        <c:axId val="187143120"/>
      </c:scatterChart>
      <c:valAx>
        <c:axId val="18714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143120"/>
        <c:crosses val="autoZero"/>
        <c:crossBetween val="midCat"/>
      </c:valAx>
      <c:valAx>
        <c:axId val="18714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14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3512"/>
        <c:axId val="187138416"/>
      </c:scatterChart>
      <c:valAx>
        <c:axId val="18714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38416"/>
        <c:crosses val="autoZero"/>
        <c:crossBetween val="midCat"/>
      </c:valAx>
      <c:valAx>
        <c:axId val="18713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43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8" sqref="C8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42913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96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106</v>
      </c>
      <c r="B8">
        <f>'Count-&gt;Actual Activity'!F2/5</f>
        <v>0.64572744116745173</v>
      </c>
      <c r="D8" t="s">
        <v>20</v>
      </c>
    </row>
    <row r="9" spans="1:5" x14ac:dyDescent="0.25">
      <c r="A9" t="s">
        <v>107</v>
      </c>
      <c r="B9">
        <f>'Count-&gt;Actual Activity'!F3/5</f>
        <v>0.64883171767791248</v>
      </c>
      <c r="D9" t="s">
        <v>20</v>
      </c>
    </row>
    <row r="10" spans="1:5" x14ac:dyDescent="0.25">
      <c r="A10" t="s">
        <v>108</v>
      </c>
      <c r="B10">
        <v>16.89392694</v>
      </c>
      <c r="C10">
        <v>1.664520548</v>
      </c>
      <c r="D10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C30" sqref="C30"/>
    </sheetView>
  </sheetViews>
  <sheetFormatPr defaultRowHeight="15" x14ac:dyDescent="0.25"/>
  <cols>
    <col min="1" max="1" width="14.85546875" bestFit="1" customWidth="1"/>
    <col min="2" max="2" width="16.140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42943.34652777778</v>
      </c>
      <c r="B2" t="s">
        <v>113</v>
      </c>
      <c r="C2">
        <v>1228.4000000000001</v>
      </c>
      <c r="D2">
        <v>1.8</v>
      </c>
      <c r="E2">
        <v>0</v>
      </c>
      <c r="F2">
        <v>276.42</v>
      </c>
    </row>
    <row r="3" spans="1:6" x14ac:dyDescent="0.25">
      <c r="A3" s="16">
        <v>42943.34652777778</v>
      </c>
      <c r="B3" t="s">
        <v>114</v>
      </c>
      <c r="C3">
        <v>1248.5999999999999</v>
      </c>
      <c r="D3">
        <v>1.79</v>
      </c>
      <c r="E3">
        <v>0.01</v>
      </c>
      <c r="F3">
        <v>287.05</v>
      </c>
    </row>
    <row r="4" spans="1:6" x14ac:dyDescent="0.25">
      <c r="A4" s="16">
        <v>42943.34652777778</v>
      </c>
      <c r="B4" t="s">
        <v>115</v>
      </c>
      <c r="C4">
        <v>1143.8</v>
      </c>
      <c r="D4">
        <v>1.87</v>
      </c>
      <c r="E4">
        <v>0.01</v>
      </c>
      <c r="F4">
        <v>297.67</v>
      </c>
    </row>
    <row r="5" spans="1:6" x14ac:dyDescent="0.25">
      <c r="A5" s="16">
        <v>42943.34652777778</v>
      </c>
      <c r="B5" t="s">
        <v>116</v>
      </c>
      <c r="C5">
        <v>1201</v>
      </c>
      <c r="D5">
        <v>1.82</v>
      </c>
      <c r="E5">
        <v>0.01</v>
      </c>
      <c r="F5">
        <v>308.31</v>
      </c>
    </row>
    <row r="6" spans="1:6" x14ac:dyDescent="0.25">
      <c r="A6" s="16">
        <v>42943.34652777778</v>
      </c>
      <c r="B6" t="s">
        <v>117</v>
      </c>
      <c r="C6">
        <v>1193.2</v>
      </c>
      <c r="D6">
        <v>1.83</v>
      </c>
      <c r="E6">
        <v>0.01</v>
      </c>
      <c r="F6">
        <v>3181.95</v>
      </c>
    </row>
    <row r="7" spans="1:6" x14ac:dyDescent="0.25">
      <c r="A7" s="16">
        <v>42943.34652777778</v>
      </c>
      <c r="B7" t="s">
        <v>118</v>
      </c>
      <c r="C7">
        <v>928.7</v>
      </c>
      <c r="D7">
        <v>2.08</v>
      </c>
      <c r="E7">
        <v>0.01</v>
      </c>
      <c r="F7">
        <v>329.58</v>
      </c>
    </row>
    <row r="8" spans="1:6" x14ac:dyDescent="0.25">
      <c r="A8" s="16">
        <v>42943.34652777778</v>
      </c>
      <c r="B8" t="s">
        <v>119</v>
      </c>
      <c r="C8">
        <v>975.9</v>
      </c>
      <c r="D8">
        <v>2.02</v>
      </c>
      <c r="E8">
        <v>0.01</v>
      </c>
      <c r="F8">
        <v>340.21</v>
      </c>
    </row>
    <row r="9" spans="1:6" x14ac:dyDescent="0.25">
      <c r="A9" s="16">
        <v>42943.34652777778</v>
      </c>
      <c r="B9" t="s">
        <v>120</v>
      </c>
      <c r="C9">
        <v>942.7</v>
      </c>
      <c r="D9">
        <v>2.06</v>
      </c>
      <c r="E9">
        <v>0.01</v>
      </c>
      <c r="F9">
        <v>350.84</v>
      </c>
    </row>
    <row r="10" spans="1:6" x14ac:dyDescent="0.25">
      <c r="A10" s="16">
        <v>42943.34652777778</v>
      </c>
      <c r="B10" t="s">
        <v>121</v>
      </c>
      <c r="C10">
        <v>800</v>
      </c>
      <c r="D10">
        <v>2.2400000000000002</v>
      </c>
      <c r="E10">
        <v>0.01</v>
      </c>
      <c r="F10">
        <v>361.45</v>
      </c>
    </row>
    <row r="11" spans="1:6" x14ac:dyDescent="0.25">
      <c r="A11" s="16">
        <v>42943.34652777778</v>
      </c>
      <c r="B11" t="s">
        <v>122</v>
      </c>
      <c r="C11">
        <v>780.3</v>
      </c>
      <c r="D11">
        <v>2.2599999999999998</v>
      </c>
      <c r="E11">
        <v>0.01</v>
      </c>
      <c r="F11">
        <v>372.09</v>
      </c>
    </row>
    <row r="12" spans="1:6" x14ac:dyDescent="0.25">
      <c r="A12" s="16">
        <v>42943.34652777778</v>
      </c>
      <c r="B12" t="s">
        <v>123</v>
      </c>
      <c r="C12">
        <v>827.1</v>
      </c>
      <c r="D12">
        <v>2.2000000000000002</v>
      </c>
      <c r="E12">
        <v>0.01</v>
      </c>
      <c r="F12">
        <v>382.7</v>
      </c>
    </row>
    <row r="13" spans="1:6" x14ac:dyDescent="0.25">
      <c r="A13" s="16">
        <v>42943.34652777778</v>
      </c>
      <c r="B13" t="s">
        <v>124</v>
      </c>
      <c r="C13">
        <v>1090.2</v>
      </c>
      <c r="D13">
        <v>1.92</v>
      </c>
      <c r="E13">
        <v>0.01</v>
      </c>
      <c r="F13">
        <v>393.44</v>
      </c>
    </row>
    <row r="14" spans="1:6" x14ac:dyDescent="0.25">
      <c r="A14" s="16">
        <v>42943.34652777778</v>
      </c>
      <c r="B14" t="s">
        <v>125</v>
      </c>
      <c r="C14">
        <v>1084.4000000000001</v>
      </c>
      <c r="D14">
        <v>1.92</v>
      </c>
      <c r="E14">
        <v>0.01</v>
      </c>
      <c r="F14">
        <v>404.07</v>
      </c>
    </row>
    <row r="15" spans="1:6" x14ac:dyDescent="0.25">
      <c r="A15" s="16">
        <v>42943.34652777778</v>
      </c>
      <c r="B15" t="s">
        <v>126</v>
      </c>
      <c r="C15">
        <v>1048.8</v>
      </c>
      <c r="D15">
        <v>1.95</v>
      </c>
      <c r="E15">
        <v>0.01</v>
      </c>
      <c r="F15">
        <v>414.7</v>
      </c>
    </row>
    <row r="16" spans="1:6" x14ac:dyDescent="0.25">
      <c r="A16" s="16">
        <v>42944.540972222225</v>
      </c>
      <c r="B16" t="s">
        <v>113</v>
      </c>
      <c r="C16">
        <v>1235.2</v>
      </c>
      <c r="D16">
        <v>1.8</v>
      </c>
      <c r="E16">
        <v>0.01</v>
      </c>
      <c r="F16">
        <v>276.41000000000003</v>
      </c>
    </row>
    <row r="17" spans="1:6" x14ac:dyDescent="0.25">
      <c r="A17" s="16">
        <v>42944.540972222225</v>
      </c>
      <c r="B17" t="s">
        <v>114</v>
      </c>
      <c r="C17">
        <v>1226.7</v>
      </c>
      <c r="D17">
        <v>1.81</v>
      </c>
      <c r="E17">
        <v>0.01</v>
      </c>
      <c r="F17">
        <v>287.04000000000002</v>
      </c>
    </row>
    <row r="18" spans="1:6" x14ac:dyDescent="0.25">
      <c r="A18" s="16">
        <v>42944.540972222225</v>
      </c>
      <c r="B18" t="s">
        <v>115</v>
      </c>
      <c r="C18">
        <v>1146.4000000000001</v>
      </c>
      <c r="D18">
        <v>1.87</v>
      </c>
      <c r="E18">
        <v>0.01</v>
      </c>
      <c r="F18">
        <v>297.66000000000003</v>
      </c>
    </row>
    <row r="19" spans="1:6" x14ac:dyDescent="0.25">
      <c r="A19" s="16">
        <v>42944.540972222225</v>
      </c>
      <c r="B19" t="s">
        <v>116</v>
      </c>
      <c r="C19">
        <v>1177.5999999999999</v>
      </c>
      <c r="D19">
        <v>1.84</v>
      </c>
      <c r="E19">
        <v>0.01</v>
      </c>
      <c r="F19">
        <v>308.29000000000002</v>
      </c>
    </row>
    <row r="20" spans="1:6" x14ac:dyDescent="0.25">
      <c r="A20" s="16">
        <v>42944.540972222225</v>
      </c>
      <c r="B20" t="s">
        <v>117</v>
      </c>
      <c r="C20">
        <v>1189</v>
      </c>
      <c r="D20">
        <v>1.83</v>
      </c>
      <c r="E20">
        <v>0.01</v>
      </c>
      <c r="F20">
        <v>318.92</v>
      </c>
    </row>
    <row r="21" spans="1:6" x14ac:dyDescent="0.25">
      <c r="A21" s="16">
        <v>42944.540972222225</v>
      </c>
      <c r="B21" t="s">
        <v>118</v>
      </c>
      <c r="C21">
        <v>916.1</v>
      </c>
      <c r="D21">
        <v>2.09</v>
      </c>
      <c r="E21">
        <v>0.01</v>
      </c>
      <c r="F21">
        <v>329.54</v>
      </c>
    </row>
    <row r="22" spans="1:6" x14ac:dyDescent="0.25">
      <c r="A22" s="16">
        <v>42944.540972222225</v>
      </c>
      <c r="B22" t="s">
        <v>119</v>
      </c>
      <c r="C22">
        <v>983.3</v>
      </c>
      <c r="D22">
        <v>2.02</v>
      </c>
      <c r="E22">
        <v>0.01</v>
      </c>
      <c r="F22">
        <v>340.17</v>
      </c>
    </row>
    <row r="23" spans="1:6" x14ac:dyDescent="0.25">
      <c r="A23" s="16">
        <v>42944.540972222225</v>
      </c>
      <c r="B23" t="s">
        <v>120</v>
      </c>
      <c r="C23">
        <v>936.6</v>
      </c>
      <c r="D23">
        <v>2.0699999999999998</v>
      </c>
      <c r="E23">
        <v>0.01</v>
      </c>
      <c r="F23">
        <v>350.79</v>
      </c>
    </row>
    <row r="24" spans="1:6" x14ac:dyDescent="0.25">
      <c r="A24" s="16">
        <v>42944.540972222225</v>
      </c>
      <c r="B24" t="s">
        <v>121</v>
      </c>
      <c r="C24">
        <v>798.1</v>
      </c>
      <c r="D24">
        <v>2.2400000000000002</v>
      </c>
      <c r="E24">
        <v>0.01</v>
      </c>
      <c r="F24">
        <v>361.42</v>
      </c>
    </row>
    <row r="25" spans="1:6" x14ac:dyDescent="0.25">
      <c r="A25" s="16">
        <v>42944.540972222225</v>
      </c>
      <c r="B25" t="s">
        <v>122</v>
      </c>
      <c r="C25">
        <v>788</v>
      </c>
      <c r="D25">
        <v>2.25</v>
      </c>
      <c r="E25">
        <v>0.01</v>
      </c>
      <c r="F25">
        <v>372.04</v>
      </c>
    </row>
    <row r="26" spans="1:6" x14ac:dyDescent="0.25">
      <c r="A26" s="16">
        <v>42944.540972222225</v>
      </c>
      <c r="B26" t="s">
        <v>123</v>
      </c>
      <c r="C26">
        <v>814.5</v>
      </c>
      <c r="D26">
        <v>2.2200000000000002</v>
      </c>
      <c r="E26">
        <v>0.01</v>
      </c>
      <c r="F26">
        <v>382.67</v>
      </c>
    </row>
    <row r="27" spans="1:6" x14ac:dyDescent="0.25">
      <c r="A27" s="16">
        <v>42944.540972222225</v>
      </c>
      <c r="B27" t="s">
        <v>124</v>
      </c>
      <c r="C27">
        <v>1070.0999999999999</v>
      </c>
      <c r="D27">
        <v>1.93</v>
      </c>
      <c r="E27">
        <v>0.01</v>
      </c>
      <c r="F27">
        <v>393.39</v>
      </c>
    </row>
    <row r="28" spans="1:6" x14ac:dyDescent="0.25">
      <c r="A28" s="16">
        <v>42944.540972222225</v>
      </c>
      <c r="B28" t="s">
        <v>125</v>
      </c>
      <c r="C28">
        <v>1097.4000000000001</v>
      </c>
      <c r="D28">
        <v>1.91</v>
      </c>
      <c r="E28">
        <v>0.01</v>
      </c>
      <c r="F28">
        <v>404.02</v>
      </c>
    </row>
    <row r="29" spans="1:6" x14ac:dyDescent="0.25">
      <c r="A29" s="16">
        <v>42944.540972222225</v>
      </c>
      <c r="B29" t="s">
        <v>126</v>
      </c>
      <c r="C29">
        <v>1038.2</v>
      </c>
      <c r="D29">
        <v>1.96</v>
      </c>
      <c r="E29">
        <v>0.01</v>
      </c>
      <c r="F29">
        <v>414.66</v>
      </c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91</v>
      </c>
      <c r="G1" s="2" t="s">
        <v>92</v>
      </c>
      <c r="H1" s="2" t="s">
        <v>93</v>
      </c>
      <c r="I1" s="18" t="s">
        <v>94</v>
      </c>
      <c r="J1" s="18" t="s">
        <v>95</v>
      </c>
      <c r="K1" s="2" t="s">
        <v>94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96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97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98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99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100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101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7" sqref="H37"/>
    </sheetView>
  </sheetViews>
  <sheetFormatPr defaultRowHeight="15" x14ac:dyDescent="0.25"/>
  <cols>
    <col min="1" max="1" width="16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82</v>
      </c>
      <c r="C1" t="s">
        <v>23</v>
      </c>
      <c r="D1" t="s">
        <v>21</v>
      </c>
      <c r="E1" t="s">
        <v>79</v>
      </c>
      <c r="F1" t="s">
        <v>80</v>
      </c>
      <c r="G1" t="s">
        <v>81</v>
      </c>
    </row>
    <row r="2" spans="1:7" x14ac:dyDescent="0.25">
      <c r="A2" t="s">
        <v>113</v>
      </c>
      <c r="B2" s="14" t="s">
        <v>83</v>
      </c>
      <c r="C2">
        <v>20.53</v>
      </c>
      <c r="D2">
        <v>0.36954000000000009</v>
      </c>
      <c r="E2" s="1" t="s">
        <v>45</v>
      </c>
      <c r="F2" s="1">
        <f>C2*'Calibration Data'!$B$31+'Calibration Data'!$B$30</f>
        <v>3.2286372058372588</v>
      </c>
      <c r="G2" s="15">
        <f>'Calibration Data'!$B$20</f>
        <v>0.15745067498955981</v>
      </c>
    </row>
    <row r="3" spans="1:7" x14ac:dyDescent="0.25">
      <c r="A3" t="s">
        <v>114</v>
      </c>
      <c r="B3" s="14" t="s">
        <v>83</v>
      </c>
      <c r="C3">
        <v>20.627500000000001</v>
      </c>
      <c r="D3">
        <v>0.37129499999999999</v>
      </c>
      <c r="E3" s="1" t="s">
        <v>45</v>
      </c>
      <c r="F3" s="1">
        <f>C3*'Calibration Data'!$B$31+'Calibration Data'!$B$30</f>
        <v>3.2441585883895625</v>
      </c>
      <c r="G3" s="15">
        <f>'Calibration Data'!$B$20</f>
        <v>0.15745067498955981</v>
      </c>
    </row>
    <row r="4" spans="1:7" x14ac:dyDescent="0.25">
      <c r="A4" t="s">
        <v>115</v>
      </c>
      <c r="B4" s="14" t="s">
        <v>83</v>
      </c>
      <c r="C4">
        <v>19.085000000000001</v>
      </c>
      <c r="D4">
        <v>0.35688950000000003</v>
      </c>
      <c r="E4" s="1" t="s">
        <v>45</v>
      </c>
      <c r="F4" s="1">
        <f>C4*'Calibration Data'!$B$31+'Calibration Data'!$B$30</f>
        <v>2.9986023567287563</v>
      </c>
      <c r="G4" s="15">
        <f>'Calibration Data'!$B$20</f>
        <v>0.15745067498955981</v>
      </c>
    </row>
    <row r="5" spans="1:7" x14ac:dyDescent="0.25">
      <c r="A5" t="s">
        <v>116</v>
      </c>
      <c r="B5" s="14" t="s">
        <v>83</v>
      </c>
      <c r="C5">
        <v>19.821666666666669</v>
      </c>
      <c r="D5">
        <v>0.36273650000000002</v>
      </c>
      <c r="E5" s="1" t="s">
        <v>45</v>
      </c>
      <c r="F5" s="1">
        <f>C5*'Calibration Data'!$B$31+'Calibration Data'!$B$30</f>
        <v>3.1158750249017184</v>
      </c>
      <c r="G5" s="15">
        <f>'Calibration Data'!$B$20</f>
        <v>0.15745067498955981</v>
      </c>
    </row>
    <row r="6" spans="1:7" x14ac:dyDescent="0.25">
      <c r="A6" t="s">
        <v>117</v>
      </c>
      <c r="B6" s="14" t="s">
        <v>83</v>
      </c>
      <c r="C6">
        <v>19.85166666666667</v>
      </c>
      <c r="D6">
        <v>0.36328549999999998</v>
      </c>
      <c r="E6" s="1" t="s">
        <v>45</v>
      </c>
      <c r="F6" s="1">
        <f>C6*'Calibration Data'!$B$31+'Calibration Data'!$B$30</f>
        <v>3.1206508349178121</v>
      </c>
      <c r="G6" s="15">
        <f>'Calibration Data'!$B$20</f>
        <v>0.15745067498955981</v>
      </c>
    </row>
    <row r="7" spans="1:7" x14ac:dyDescent="0.25">
      <c r="A7" t="s">
        <v>118</v>
      </c>
      <c r="B7" s="14" t="s">
        <v>83</v>
      </c>
      <c r="C7">
        <v>15.37333333333333</v>
      </c>
      <c r="D7">
        <v>0.32053399999999999</v>
      </c>
      <c r="E7" s="1" t="s">
        <v>45</v>
      </c>
      <c r="F7" s="1">
        <f>C7*'Calibration Data'!$B$31+'Calibration Data'!$B$30</f>
        <v>2.407728528626524</v>
      </c>
      <c r="G7" s="15">
        <f>'Calibration Data'!$B$20</f>
        <v>0.15745067498955981</v>
      </c>
    </row>
    <row r="8" spans="1:7" ht="15.75" customHeight="1" x14ac:dyDescent="0.25">
      <c r="A8" t="s">
        <v>119</v>
      </c>
      <c r="B8" s="14" t="s">
        <v>83</v>
      </c>
      <c r="C8">
        <v>16.326666666666672</v>
      </c>
      <c r="D8">
        <v>0.32979866666666668</v>
      </c>
      <c r="E8" s="1" t="s">
        <v>45</v>
      </c>
      <c r="F8" s="1">
        <f>C8*'Calibration Data'!$B$31+'Calibration Data'!$B$30</f>
        <v>2.5594931580268292</v>
      </c>
      <c r="G8" s="15">
        <f>'Calibration Data'!$B$20</f>
        <v>0.15745067498955981</v>
      </c>
    </row>
    <row r="9" spans="1:7" x14ac:dyDescent="0.25">
      <c r="A9" t="s">
        <v>120</v>
      </c>
      <c r="B9" s="14" t="s">
        <v>83</v>
      </c>
      <c r="C9">
        <v>15.660833333333329</v>
      </c>
      <c r="D9">
        <v>0.32339620833333338</v>
      </c>
      <c r="E9" s="1" t="s">
        <v>45</v>
      </c>
      <c r="F9" s="1">
        <f>C9*'Calibration Data'!$B$31+'Calibration Data'!$B$30</f>
        <v>2.4534967079474197</v>
      </c>
      <c r="G9" s="15">
        <f>'Calibration Data'!$B$20</f>
        <v>0.15745067498955981</v>
      </c>
    </row>
    <row r="10" spans="1:7" x14ac:dyDescent="0.25">
      <c r="A10" t="s">
        <v>121</v>
      </c>
      <c r="B10" s="14" t="s">
        <v>83</v>
      </c>
      <c r="C10">
        <v>13.317500000000001</v>
      </c>
      <c r="D10">
        <v>0.29831200000000008</v>
      </c>
      <c r="E10" s="1" t="s">
        <v>45</v>
      </c>
      <c r="F10" s="1">
        <f>C10*'Calibration Data'!$B$31+'Calibration Data'!$B$30</f>
        <v>2.0804528811347858</v>
      </c>
      <c r="G10" s="15">
        <f>'Calibration Data'!$B$20</f>
        <v>0.15745067498955981</v>
      </c>
    </row>
    <row r="11" spans="1:7" x14ac:dyDescent="0.25">
      <c r="A11" t="s">
        <v>122</v>
      </c>
      <c r="B11" s="14" t="s">
        <v>83</v>
      </c>
      <c r="C11">
        <v>13.069166666666669</v>
      </c>
      <c r="D11">
        <v>0.29470970833333332</v>
      </c>
      <c r="E11" s="1" t="s">
        <v>45</v>
      </c>
      <c r="F11" s="1">
        <f>C11*'Calibration Data'!$B$31+'Calibration Data'!$B$30</f>
        <v>2.0409197871126792</v>
      </c>
      <c r="G11" s="15">
        <f>'Calibration Data'!$B$20</f>
        <v>0.15745067498955981</v>
      </c>
    </row>
    <row r="12" spans="1:7" x14ac:dyDescent="0.25">
      <c r="A12" t="s">
        <v>123</v>
      </c>
      <c r="B12" s="14" t="s">
        <v>83</v>
      </c>
      <c r="C12">
        <v>13.68</v>
      </c>
      <c r="D12">
        <v>0.30232799999999999</v>
      </c>
      <c r="E12" s="1" t="s">
        <v>45</v>
      </c>
      <c r="F12" s="1">
        <f>C12*'Calibration Data'!$B$31+'Calibration Data'!$B$30</f>
        <v>2.1381605854959154</v>
      </c>
      <c r="G12" s="15">
        <f>'Calibration Data'!$B$20</f>
        <v>0.15745067498955981</v>
      </c>
    </row>
    <row r="13" spans="1:7" x14ac:dyDescent="0.25">
      <c r="A13" t="s">
        <v>124</v>
      </c>
      <c r="B13" s="14" t="s">
        <v>83</v>
      </c>
      <c r="C13">
        <v>18.002500000000001</v>
      </c>
      <c r="D13">
        <v>0.34654812499999987</v>
      </c>
      <c r="E13" s="1" t="s">
        <v>45</v>
      </c>
      <c r="F13" s="1">
        <f>C13*'Calibration Data'!$B$31+'Calibration Data'!$B$30</f>
        <v>2.8262752119813834</v>
      </c>
      <c r="G13" s="15">
        <f>'Calibration Data'!$B$20</f>
        <v>0.15745067498955981</v>
      </c>
    </row>
    <row r="14" spans="1:7" x14ac:dyDescent="0.25">
      <c r="A14" t="s">
        <v>125</v>
      </c>
      <c r="B14" s="14" t="s">
        <v>83</v>
      </c>
      <c r="C14">
        <v>18.181666666666668</v>
      </c>
      <c r="D14">
        <v>0.34817891666666673</v>
      </c>
      <c r="E14" s="1" t="s">
        <v>45</v>
      </c>
      <c r="F14" s="1">
        <f>C14*'Calibration Data'!$B$31+'Calibration Data'!$B$30</f>
        <v>2.8547974106886085</v>
      </c>
      <c r="G14" s="15">
        <f>'Calibration Data'!$B$20</f>
        <v>0.15745067498955981</v>
      </c>
    </row>
    <row r="15" spans="1:7" x14ac:dyDescent="0.25">
      <c r="A15" t="s">
        <v>126</v>
      </c>
      <c r="B15" s="14" t="s">
        <v>83</v>
      </c>
      <c r="C15">
        <v>17.391666666666669</v>
      </c>
      <c r="D15">
        <v>0.34000708333333329</v>
      </c>
      <c r="E15" s="1" t="s">
        <v>45</v>
      </c>
      <c r="F15" s="1">
        <f>C15*'Calibration Data'!$B$31+'Calibration Data'!$B$30</f>
        <v>2.7290344135981472</v>
      </c>
      <c r="G15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defaultRowHeight="15" x14ac:dyDescent="0.25"/>
  <cols>
    <col min="1" max="1" width="16.1406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42578125" customWidth="1"/>
    <col min="13" max="13" width="25.71093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110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111</v>
      </c>
      <c r="M1" t="s">
        <v>112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87</v>
      </c>
    </row>
    <row r="2" spans="1:20" x14ac:dyDescent="0.25">
      <c r="A2" t="s">
        <v>115</v>
      </c>
      <c r="B2">
        <v>100</v>
      </c>
      <c r="C2">
        <v>0.08</v>
      </c>
      <c r="D2" s="1">
        <v>6.99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'Count-&gt;Actual Activity'!F4</f>
        <v>2.9986023567287563</v>
      </c>
      <c r="K2" s="15">
        <f>'Count-&gt;Actual Activity'!G4</f>
        <v>0.15745067498955981</v>
      </c>
      <c r="L2" s="1">
        <v>5</v>
      </c>
      <c r="M2" s="1">
        <v>0.01</v>
      </c>
      <c r="N2">
        <f>J2/L2</f>
        <v>0.59972047134575124</v>
      </c>
      <c r="O2" s="15">
        <f>SQRT((M2/L2)^2+(K2/J2)^2)*N2</f>
        <v>3.1512969722984285E-2</v>
      </c>
      <c r="P2">
        <f>B2*AVERAGE(Parameters!$B$8:$B$9)</f>
        <v>64.727957942268205</v>
      </c>
      <c r="Q2">
        <f>P2*SQRT((_xlfn.STDEV.S(Parameters!$B$8:$B$9)/AVERAGE(Parameters!$B$8:$B$9))^2+('Bottle Results'!C2/'Bottle Results'!B2)^2)</f>
        <v>0.22553065585900378</v>
      </c>
      <c r="R2" t="e">
        <f>(P2-N2*H2)/F2</f>
        <v>#DIV/0!</v>
      </c>
      <c r="T2">
        <f>(P2-N2*H2)/P2</f>
        <v>7.3475372294842814E-2</v>
      </c>
    </row>
    <row r="3" spans="1:20" x14ac:dyDescent="0.25">
      <c r="A3" t="s">
        <v>116</v>
      </c>
      <c r="B3">
        <v>100</v>
      </c>
      <c r="C3">
        <v>0.08</v>
      </c>
      <c r="D3" s="1">
        <v>6.97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'Count-&gt;Actual Activity'!F5</f>
        <v>3.1158750249017184</v>
      </c>
      <c r="K3" s="15">
        <f>'Count-&gt;Actual Activity'!G5</f>
        <v>0.15745067498955981</v>
      </c>
      <c r="L3" s="1">
        <v>5</v>
      </c>
      <c r="M3" s="1">
        <v>0.01</v>
      </c>
      <c r="N3">
        <f t="shared" ref="N3:N13" si="0">J3/L3</f>
        <v>0.62317500498034373</v>
      </c>
      <c r="O3" s="15">
        <f t="shared" ref="O3:O13" si="1">SQRT((M3/L3)^2+(K3/J3)^2)*N3</f>
        <v>3.1514790028398555E-2</v>
      </c>
      <c r="P3">
        <f>B3*AVERAGE(Parameters!$B$8:$B$9)</f>
        <v>64.727957942268205</v>
      </c>
      <c r="Q3">
        <f>P3*SQRT((_xlfn.STDEV.S(Parameters!$B$8:$B$9)/AVERAGE(Parameters!$B$8:$B$9))^2+('Bottle Results'!C3/'Bottle Results'!B3)^2)</f>
        <v>0.22553065585900378</v>
      </c>
      <c r="R3" t="e">
        <f t="shared" ref="R3:R13" si="2">(P3-N3*H3)/F3</f>
        <v>#DIV/0!</v>
      </c>
      <c r="T3">
        <f t="shared" ref="T3:T13" si="3">(P3-N3*H3)/P3</f>
        <v>3.7239819096158672E-2</v>
      </c>
    </row>
    <row r="4" spans="1:20" x14ac:dyDescent="0.25">
      <c r="A4" t="s">
        <v>117</v>
      </c>
      <c r="B4">
        <v>100</v>
      </c>
      <c r="C4">
        <v>0.08</v>
      </c>
      <c r="D4" s="1">
        <v>7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'Count-&gt;Actual Activity'!F6</f>
        <v>3.1206508349178121</v>
      </c>
      <c r="K4" s="15">
        <f>'Count-&gt;Actual Activity'!G6</f>
        <v>0.15745067498955981</v>
      </c>
      <c r="L4" s="1">
        <v>5</v>
      </c>
      <c r="M4" s="1">
        <v>0.01</v>
      </c>
      <c r="N4">
        <f t="shared" si="0"/>
        <v>0.62413016698356238</v>
      </c>
      <c r="O4" s="15">
        <f t="shared" si="1"/>
        <v>3.1514865635888012E-2</v>
      </c>
      <c r="P4">
        <f>B4*AVERAGE(Parameters!$B$8:$B$9)</f>
        <v>64.727957942268205</v>
      </c>
      <c r="Q4">
        <f>P4*SQRT((_xlfn.STDEV.S(Parameters!$B$8:$B$9)/AVERAGE(Parameters!$B$8:$B$9))^2+('Bottle Results'!C4/'Bottle Results'!B4)^2)</f>
        <v>0.22553065585900378</v>
      </c>
      <c r="R4" t="e">
        <f t="shared" si="2"/>
        <v>#DIV/0!</v>
      </c>
      <c r="T4">
        <f t="shared" si="3"/>
        <v>3.5764163083542612E-2</v>
      </c>
    </row>
    <row r="5" spans="1:20" x14ac:dyDescent="0.25">
      <c r="A5" t="s">
        <v>118</v>
      </c>
      <c r="B5">
        <v>100</v>
      </c>
      <c r="C5">
        <v>0.08</v>
      </c>
      <c r="D5" s="1">
        <v>7.02</v>
      </c>
      <c r="E5" s="1">
        <v>1.78</v>
      </c>
      <c r="F5" s="1">
        <f>E5*Parameters!$B$10/1000</f>
        <v>3.00711899532E-2</v>
      </c>
      <c r="G5" s="1">
        <f>F5*SQRT((0.01/E5)^2+(Parameters!$C$10/Parameters!$B$10)^2)</f>
        <v>2.9676590616750341E-3</v>
      </c>
      <c r="H5" s="1">
        <v>100</v>
      </c>
      <c r="I5" s="1">
        <v>5</v>
      </c>
      <c r="J5" s="1">
        <f>'Count-&gt;Actual Activity'!F7</f>
        <v>2.407728528626524</v>
      </c>
      <c r="K5" s="15">
        <f>'Count-&gt;Actual Activity'!G7</f>
        <v>0.15745067498955981</v>
      </c>
      <c r="L5" s="1">
        <v>5</v>
      </c>
      <c r="M5" s="1">
        <v>0.01</v>
      </c>
      <c r="N5">
        <f t="shared" si="0"/>
        <v>0.48154570572530481</v>
      </c>
      <c r="O5" s="15">
        <f t="shared" si="1"/>
        <v>3.1504859105438474E-2</v>
      </c>
      <c r="P5">
        <f>B5*AVERAGE(Parameters!$B$8:$B$9)</f>
        <v>64.727957942268205</v>
      </c>
      <c r="Q5">
        <f>P5*SQRT((_xlfn.STDEV.S(Parameters!$B$8:$B$9)/AVERAGE(Parameters!$B$8:$B$9))^2+('Bottle Results'!C5/'Bottle Results'!B5)^2)</f>
        <v>0.22553065585900378</v>
      </c>
      <c r="R5">
        <f t="shared" si="2"/>
        <v>551.13839510611319</v>
      </c>
      <c r="T5">
        <f t="shared" si="3"/>
        <v>0.25604681341128921</v>
      </c>
    </row>
    <row r="6" spans="1:20" x14ac:dyDescent="0.25">
      <c r="A6" t="s">
        <v>119</v>
      </c>
      <c r="B6">
        <v>100</v>
      </c>
      <c r="C6">
        <v>0.08</v>
      </c>
      <c r="D6" s="1">
        <v>6.99</v>
      </c>
      <c r="E6" s="1">
        <v>1.78</v>
      </c>
      <c r="F6" s="1">
        <f>E6*Parameters!$B$10/1000</f>
        <v>3.00711899532E-2</v>
      </c>
      <c r="G6" s="1">
        <f>F6*SQRT((0.01/E6)^2+(Parameters!$C$10/Parameters!$B$10)^2)</f>
        <v>2.9676590616750341E-3</v>
      </c>
      <c r="H6" s="1">
        <v>100</v>
      </c>
      <c r="I6" s="1">
        <v>5</v>
      </c>
      <c r="J6" s="1">
        <f>'Count-&gt;Actual Activity'!F8</f>
        <v>2.5594931580268292</v>
      </c>
      <c r="K6" s="15">
        <f>'Count-&gt;Actual Activity'!G8</f>
        <v>0.15745067498955981</v>
      </c>
      <c r="L6" s="1">
        <v>5</v>
      </c>
      <c r="M6" s="1">
        <v>0.01</v>
      </c>
      <c r="N6">
        <f t="shared" si="0"/>
        <v>0.51189863160536586</v>
      </c>
      <c r="O6" s="15">
        <f t="shared" si="1"/>
        <v>3.1506773288022968E-2</v>
      </c>
      <c r="P6">
        <f>B6*AVERAGE(Parameters!$B$8:$B$9)</f>
        <v>64.727957942268205</v>
      </c>
      <c r="Q6">
        <f>P6*SQRT((_xlfn.STDEV.S(Parameters!$B$8:$B$9)/AVERAGE(Parameters!$B$8:$B$9))^2+('Bottle Results'!C6/'Bottle Results'!B6)^2)</f>
        <v>0.22553065585900378</v>
      </c>
      <c r="R6">
        <f t="shared" si="2"/>
        <v>450.20149860384794</v>
      </c>
      <c r="T6">
        <f t="shared" si="3"/>
        <v>0.20915374456593297</v>
      </c>
    </row>
    <row r="7" spans="1:20" x14ac:dyDescent="0.25">
      <c r="A7" t="s">
        <v>120</v>
      </c>
      <c r="B7">
        <v>100</v>
      </c>
      <c r="C7">
        <v>0.08</v>
      </c>
      <c r="D7" s="1">
        <v>6.99</v>
      </c>
      <c r="E7" s="1">
        <v>1.78</v>
      </c>
      <c r="F7" s="1">
        <f>E7*Parameters!$B$10/1000</f>
        <v>3.00711899532E-2</v>
      </c>
      <c r="G7" s="1">
        <f>F7*SQRT((0.01/E7)^2+(Parameters!$C$10/Parameters!$B$10)^2)</f>
        <v>2.9676590616750341E-3</v>
      </c>
      <c r="H7" s="1">
        <v>100</v>
      </c>
      <c r="I7" s="1">
        <v>5</v>
      </c>
      <c r="J7" s="1">
        <f>'Count-&gt;Actual Activity'!F9</f>
        <v>2.4534967079474197</v>
      </c>
      <c r="K7" s="15">
        <f>'Count-&gt;Actual Activity'!G9</f>
        <v>0.15745067498955981</v>
      </c>
      <c r="L7" s="1">
        <v>5</v>
      </c>
      <c r="M7" s="1">
        <v>0.01</v>
      </c>
      <c r="N7">
        <f t="shared" si="0"/>
        <v>0.49069934158948392</v>
      </c>
      <c r="O7" s="15">
        <f t="shared" si="1"/>
        <v>3.15054240657393E-2</v>
      </c>
      <c r="P7">
        <f>B7*AVERAGE(Parameters!$B$8:$B$9)</f>
        <v>64.727957942268205</v>
      </c>
      <c r="Q7">
        <f>P7*SQRT((_xlfn.STDEV.S(Parameters!$B$8:$B$9)/AVERAGE(Parameters!$B$8:$B$9))^2+('Bottle Results'!C7/'Bottle Results'!B7)^2)</f>
        <v>0.22553065585900378</v>
      </c>
      <c r="R7">
        <f t="shared" si="2"/>
        <v>520.69850936023829</v>
      </c>
      <c r="T7">
        <f t="shared" si="3"/>
        <v>0.24190510995705178</v>
      </c>
    </row>
    <row r="8" spans="1:20" ht="15.75" customHeight="1" x14ac:dyDescent="0.25">
      <c r="A8" t="s">
        <v>121</v>
      </c>
      <c r="B8">
        <v>100</v>
      </c>
      <c r="C8">
        <v>0.08</v>
      </c>
      <c r="D8" s="1">
        <v>7</v>
      </c>
      <c r="E8" s="1"/>
      <c r="F8" s="1">
        <v>2.9700000000000001E-2</v>
      </c>
      <c r="G8" s="1">
        <v>2E-3</v>
      </c>
      <c r="H8" s="1">
        <v>100</v>
      </c>
      <c r="I8" s="1">
        <v>5</v>
      </c>
      <c r="J8" s="1">
        <f>'Count-&gt;Actual Activity'!F10</f>
        <v>2.0804528811347858</v>
      </c>
      <c r="K8" s="15">
        <f>'Count-&gt;Actual Activity'!G10</f>
        <v>0.15745067498955981</v>
      </c>
      <c r="L8" s="1">
        <v>5</v>
      </c>
      <c r="M8" s="1">
        <v>0.01</v>
      </c>
      <c r="N8">
        <f t="shared" si="0"/>
        <v>0.41609057622695717</v>
      </c>
      <c r="O8" s="15">
        <f t="shared" si="1"/>
        <v>3.1501128990200009E-2</v>
      </c>
      <c r="P8">
        <f>B8*AVERAGE(Parameters!$B$8:$B$9)</f>
        <v>64.727957942268205</v>
      </c>
      <c r="Q8">
        <f>P8*SQRT((_xlfn.STDEV.S(Parameters!$B$8:$B$9)/AVERAGE(Parameters!$B$8:$B$9))^2+('Bottle Results'!C8/'Bottle Results'!B8)^2)</f>
        <v>0.22553065585900378</v>
      </c>
      <c r="R8">
        <f t="shared" si="2"/>
        <v>778.41415217415783</v>
      </c>
      <c r="T8">
        <f t="shared" si="3"/>
        <v>0.35717024072028608</v>
      </c>
    </row>
    <row r="9" spans="1:20" x14ac:dyDescent="0.25">
      <c r="A9" t="s">
        <v>122</v>
      </c>
      <c r="B9">
        <v>100</v>
      </c>
      <c r="C9">
        <v>0.08</v>
      </c>
      <c r="D9" s="1">
        <v>7</v>
      </c>
      <c r="E9" s="1"/>
      <c r="F9" s="1">
        <v>3.0300000000000001E-2</v>
      </c>
      <c r="G9" s="1">
        <v>2E-3</v>
      </c>
      <c r="H9" s="1">
        <v>100</v>
      </c>
      <c r="I9" s="1">
        <v>5</v>
      </c>
      <c r="J9" s="1">
        <f>'Count-&gt;Actual Activity'!F11</f>
        <v>2.0409197871126792</v>
      </c>
      <c r="K9" s="15">
        <f>'Count-&gt;Actual Activity'!G11</f>
        <v>0.15745067498955981</v>
      </c>
      <c r="L9" s="1">
        <v>5</v>
      </c>
      <c r="M9" s="1">
        <v>0.01</v>
      </c>
      <c r="N9">
        <f t="shared" si="0"/>
        <v>0.40818395742253583</v>
      </c>
      <c r="O9" s="15">
        <f t="shared" si="1"/>
        <v>3.1500715210279091E-2</v>
      </c>
      <c r="P9">
        <f>B9*AVERAGE(Parameters!$B$8:$B$9)</f>
        <v>64.727957942268205</v>
      </c>
      <c r="Q9">
        <f>P9*SQRT((_xlfn.STDEV.S(Parameters!$B$8:$B$9)/AVERAGE(Parameters!$B$8:$B$9))^2+('Bottle Results'!C9/'Bottle Results'!B9)^2)</f>
        <v>0.22553065585900378</v>
      </c>
      <c r="R9">
        <f t="shared" si="2"/>
        <v>789.09446204668711</v>
      </c>
      <c r="T9">
        <f t="shared" si="3"/>
        <v>0.36938539326916353</v>
      </c>
    </row>
    <row r="10" spans="1:20" x14ac:dyDescent="0.25">
      <c r="A10" t="s">
        <v>123</v>
      </c>
      <c r="B10">
        <v>100</v>
      </c>
      <c r="C10">
        <v>0.08</v>
      </c>
      <c r="D10" s="1">
        <v>7</v>
      </c>
      <c r="E10" s="1"/>
      <c r="F10" s="1">
        <v>2.98E-2</v>
      </c>
      <c r="G10" s="1">
        <v>2E-3</v>
      </c>
      <c r="H10" s="1">
        <v>100</v>
      </c>
      <c r="I10" s="1">
        <v>5</v>
      </c>
      <c r="J10" s="1">
        <f>'Count-&gt;Actual Activity'!F12</f>
        <v>2.1381605854959154</v>
      </c>
      <c r="K10" s="15">
        <f>'Count-&gt;Actual Activity'!G12</f>
        <v>0.15745067498955981</v>
      </c>
      <c r="L10" s="1">
        <v>5</v>
      </c>
      <c r="M10" s="1">
        <v>0.01</v>
      </c>
      <c r="N10">
        <f t="shared" si="0"/>
        <v>0.42763211709918308</v>
      </c>
      <c r="O10" s="15">
        <f t="shared" si="1"/>
        <v>3.1501747238796438E-2</v>
      </c>
      <c r="P10">
        <f>B10*AVERAGE(Parameters!$B$8:$B$9)</f>
        <v>64.727957942268205</v>
      </c>
      <c r="Q10">
        <f>P10*SQRT((_xlfn.STDEV.S(Parameters!$B$8:$B$9)/AVERAGE(Parameters!$B$8:$B$9))^2+('Bottle Results'!C10/'Bottle Results'!B10)^2)</f>
        <v>0.22553065585900378</v>
      </c>
      <c r="R10">
        <f t="shared" si="2"/>
        <v>737.07202121979515</v>
      </c>
      <c r="T10">
        <f t="shared" si="3"/>
        <v>0.33933939723450829</v>
      </c>
    </row>
    <row r="11" spans="1:20" x14ac:dyDescent="0.25">
      <c r="A11" t="s">
        <v>124</v>
      </c>
      <c r="B11">
        <v>100</v>
      </c>
      <c r="C11">
        <v>0.08</v>
      </c>
      <c r="D11" s="1">
        <v>7</v>
      </c>
      <c r="E11" s="1"/>
      <c r="F11" s="1">
        <v>3.0099999999999998E-2</v>
      </c>
      <c r="G11" s="1">
        <v>2E-3</v>
      </c>
      <c r="H11" s="1">
        <v>100</v>
      </c>
      <c r="I11" s="1">
        <v>5</v>
      </c>
      <c r="J11" s="1">
        <f>'Count-&gt;Actual Activity'!F13</f>
        <v>2.8262752119813834</v>
      </c>
      <c r="K11" s="15">
        <f>'Count-&gt;Actual Activity'!G13</f>
        <v>0.15745067498955981</v>
      </c>
      <c r="L11" s="1">
        <v>5</v>
      </c>
      <c r="M11" s="1">
        <v>0.01</v>
      </c>
      <c r="N11">
        <f t="shared" si="0"/>
        <v>0.56525504239627666</v>
      </c>
      <c r="O11" s="15">
        <f t="shared" si="1"/>
        <v>3.1510421375134573E-2</v>
      </c>
      <c r="P11">
        <f>B11*AVERAGE(Parameters!$B$8:$B$9)</f>
        <v>64.727957942268205</v>
      </c>
      <c r="Q11">
        <f>P11*SQRT((_xlfn.STDEV.S(Parameters!$B$8:$B$9)/AVERAGE(Parameters!$B$8:$B$9))^2+('Bottle Results'!C11/'Bottle Results'!B11)^2)</f>
        <v>0.22553065585900378</v>
      </c>
      <c r="R11">
        <f t="shared" si="2"/>
        <v>272.50676752958606</v>
      </c>
      <c r="T11">
        <f t="shared" si="3"/>
        <v>0.12672196008340672</v>
      </c>
    </row>
    <row r="12" spans="1:20" x14ac:dyDescent="0.25">
      <c r="A12" t="s">
        <v>125</v>
      </c>
      <c r="B12">
        <v>100</v>
      </c>
      <c r="C12">
        <v>0.08</v>
      </c>
      <c r="D12" s="1">
        <v>7</v>
      </c>
      <c r="E12" s="1"/>
      <c r="F12" s="1">
        <v>3.0099999999999998E-2</v>
      </c>
      <c r="G12" s="1">
        <v>2E-3</v>
      </c>
      <c r="H12" s="1">
        <v>100</v>
      </c>
      <c r="I12" s="1">
        <v>5</v>
      </c>
      <c r="J12" s="1">
        <f>'Count-&gt;Actual Activity'!F14</f>
        <v>2.8547974106886085</v>
      </c>
      <c r="K12" s="15">
        <f>'Count-&gt;Actual Activity'!G14</f>
        <v>0.15745067498955981</v>
      </c>
      <c r="L12" s="1">
        <v>5</v>
      </c>
      <c r="M12" s="1">
        <v>0.01</v>
      </c>
      <c r="N12">
        <f t="shared" si="0"/>
        <v>0.57095948213772174</v>
      </c>
      <c r="O12" s="15">
        <f t="shared" si="1"/>
        <v>3.1510832758080067E-2</v>
      </c>
      <c r="P12">
        <f>B12*AVERAGE(Parameters!$B$8:$B$9)</f>
        <v>64.727957942268205</v>
      </c>
      <c r="Q12">
        <f>P12*SQRT((_xlfn.STDEV.S(Parameters!$B$8:$B$9)/AVERAGE(Parameters!$B$8:$B$9))^2+('Bottle Results'!C12/'Bottle Results'!B12)^2)</f>
        <v>0.22553065585900378</v>
      </c>
      <c r="R12">
        <f t="shared" si="2"/>
        <v>253.55514048159569</v>
      </c>
      <c r="T12">
        <f t="shared" si="3"/>
        <v>0.11790901445250487</v>
      </c>
    </row>
    <row r="13" spans="1:20" x14ac:dyDescent="0.25">
      <c r="A13" t="s">
        <v>126</v>
      </c>
      <c r="B13">
        <v>100</v>
      </c>
      <c r="C13">
        <v>0.08</v>
      </c>
      <c r="D13" s="1">
        <v>7.02</v>
      </c>
      <c r="E13" s="1"/>
      <c r="F13" s="1">
        <v>3.04E-2</v>
      </c>
      <c r="G13" s="1">
        <v>2E-3</v>
      </c>
      <c r="H13" s="1">
        <v>100</v>
      </c>
      <c r="I13" s="1">
        <v>5</v>
      </c>
      <c r="J13" s="1">
        <f>'Count-&gt;Actual Activity'!F15</f>
        <v>2.7290344135981472</v>
      </c>
      <c r="K13" s="15">
        <f>'Count-&gt;Actual Activity'!G15</f>
        <v>0.15745067498955981</v>
      </c>
      <c r="L13" s="1">
        <v>5</v>
      </c>
      <c r="M13" s="1">
        <v>0.01</v>
      </c>
      <c r="N13">
        <f t="shared" si="0"/>
        <v>0.5458068827196294</v>
      </c>
      <c r="O13" s="15">
        <f t="shared" si="1"/>
        <v>3.150904985555128E-2</v>
      </c>
      <c r="P13">
        <f>B13*AVERAGE(Parameters!$B$8:$B$9)</f>
        <v>64.727957942268205</v>
      </c>
      <c r="Q13">
        <f>P13*SQRT((_xlfn.STDEV.S(Parameters!$B$8:$B$9)/AVERAGE(Parameters!$B$8:$B$9))^2+('Bottle Results'!C13/'Bottle Results'!B13)^2)</f>
        <v>0.22553065585900378</v>
      </c>
      <c r="R13">
        <f t="shared" si="2"/>
        <v>333.7917654705679</v>
      </c>
      <c r="T13">
        <f t="shared" si="3"/>
        <v>0.15676795611806199</v>
      </c>
    </row>
  </sheetData>
  <conditionalFormatting sqref="J2:J13">
    <cfRule type="cellIs" dxfId="2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C4" sqref="C4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140625" bestFit="1" customWidth="1"/>
    <col min="4" max="11" width="12" bestFit="1" customWidth="1"/>
    <col min="12" max="12" width="12.5703125" bestFit="1" customWidth="1"/>
    <col min="13" max="13" width="7.42578125" bestFit="1" customWidth="1"/>
    <col min="14" max="14" width="6.28515625" bestFit="1" customWidth="1"/>
  </cols>
  <sheetData>
    <row r="1" spans="1:14" x14ac:dyDescent="0.25">
      <c r="A1" t="s">
        <v>15</v>
      </c>
      <c r="B1" t="s">
        <v>29</v>
      </c>
      <c r="C1" t="s">
        <v>84</v>
      </c>
      <c r="D1" t="s">
        <v>31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102</v>
      </c>
      <c r="L1" t="s">
        <v>103</v>
      </c>
      <c r="M1" t="s">
        <v>104</v>
      </c>
      <c r="N1" t="s">
        <v>7</v>
      </c>
    </row>
    <row r="2" spans="1:14" x14ac:dyDescent="0.25">
      <c r="A2" t="s">
        <v>127</v>
      </c>
      <c r="B2">
        <f>AVERAGE('Bottle Results'!N2:N4)</f>
        <v>0.61567521443655238</v>
      </c>
      <c r="C2">
        <f>_xlfn.STDEV.S('Bottle Results'!N2:N4)</f>
        <v>1.3825463968098861E-2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64.727957942268205</v>
      </c>
      <c r="G2">
        <f>AVERAGE('Bottle Results'!T2:T4)</f>
        <v>4.8826451491514704E-2</v>
      </c>
      <c r="H2">
        <f>_xlfn.STDEV.S('Bottle Results'!T2:T4)</f>
        <v>2.1359339005302781E-2</v>
      </c>
      <c r="I2">
        <f>AVERAGE('Bottle Results'!D2:D4)</f>
        <v>6.9866666666666672</v>
      </c>
      <c r="J2">
        <f>_xlfn.STDEV.S('Bottle Results'!D2:D4)</f>
        <v>1.5275252316519626E-2</v>
      </c>
      <c r="K2">
        <f>AVERAGE('Bottle Results'!F2:F4)</f>
        <v>0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t="s">
        <v>128</v>
      </c>
      <c r="B3">
        <f>AVERAGE('Bottle Results'!N5:N7)</f>
        <v>0.49471455964005157</v>
      </c>
      <c r="C3">
        <f>_xlfn.STDEV.S('Bottle Results'!N5:N7)</f>
        <v>1.5569730548899137E-2</v>
      </c>
      <c r="D3">
        <f>AVERAGE('Bottle Results'!R5:R7)</f>
        <v>507.3461343567331</v>
      </c>
      <c r="E3">
        <f>_xlfn.STDEV.S('Bottle Results'!R5:R7)</f>
        <v>51.776236900270412</v>
      </c>
      <c r="F3">
        <f>AVERAGE('Bottle Results'!P5:P7)</f>
        <v>64.727957942268205</v>
      </c>
      <c r="G3">
        <f>AVERAGE('Bottle Results'!T5:T7)</f>
        <v>0.23570188931142466</v>
      </c>
      <c r="H3">
        <f>_xlfn.STDEV.S('Bottle Results'!T5:T7)</f>
        <v>2.4054104352845503E-2</v>
      </c>
      <c r="I3">
        <f>AVERAGE('Bottle Results'!D5:D7)</f>
        <v>7</v>
      </c>
      <c r="J3">
        <f>_xlfn.STDEV.S('Bottle Results'!D5:D7)</f>
        <v>1.7320508075688402E-2</v>
      </c>
      <c r="K3">
        <f>AVERAGE('Bottle Results'!F5:F7)</f>
        <v>3.00711899532E-2</v>
      </c>
      <c r="L3">
        <f>_xlfn.STDEV.S('Bottle Results'!F5:F7)</f>
        <v>0</v>
      </c>
      <c r="M3">
        <f>COUNT('Bottle Results'!J5:J7)</f>
        <v>3</v>
      </c>
    </row>
    <row r="4" spans="1:14" x14ac:dyDescent="0.25">
      <c r="A4" t="s">
        <v>129</v>
      </c>
      <c r="B4">
        <f>AVERAGE('Bottle Results'!N8:N10)</f>
        <v>0.41730221691622532</v>
      </c>
      <c r="C4">
        <f>_xlfn.STDEV.S('Bottle Results'!N8:N10)</f>
        <v>9.7805308430580513E-3</v>
      </c>
      <c r="D4">
        <f>AVERAGE('Bottle Results'!R8:R10)</f>
        <v>768.19354514687996</v>
      </c>
      <c r="E4">
        <f>_xlfn.STDEV.S('Bottle Results'!R8:R10)</f>
        <v>27.475974839874187</v>
      </c>
      <c r="F4">
        <f>AVERAGE('Bottle Results'!P8:P10)</f>
        <v>64.727957942268205</v>
      </c>
      <c r="G4">
        <f>AVERAGE('Bottle Results'!T8:T10)</f>
        <v>0.3552983437413193</v>
      </c>
      <c r="H4">
        <f>_xlfn.STDEV.S('Bottle Results'!T8:T10)</f>
        <v>1.5110210724987536E-2</v>
      </c>
      <c r="I4">
        <f>AVERAGE('Bottle Results'!D8:D10)</f>
        <v>7</v>
      </c>
      <c r="J4">
        <f>_xlfn.STDEV.S('Bottle Results'!D8:D10)</f>
        <v>0</v>
      </c>
      <c r="K4">
        <f>AVERAGE('Bottle Results'!F8:F10)</f>
        <v>2.9933333333333329E-2</v>
      </c>
      <c r="L4">
        <f>_xlfn.STDEV.S('Bottle Results'!F8:F10)</f>
        <v>3.2145502536643189E-4</v>
      </c>
      <c r="M4">
        <f>COUNT('Bottle Results'!J8:J10)</f>
        <v>3</v>
      </c>
    </row>
    <row r="5" spans="1:14" x14ac:dyDescent="0.25">
      <c r="A5" t="s">
        <v>130</v>
      </c>
      <c r="B5">
        <f>AVERAGE('Bottle Results'!N11:N13)</f>
        <v>0.5606738024178759</v>
      </c>
      <c r="C5">
        <f>_xlfn.STDEV.S('Bottle Results'!N11:N13)</f>
        <v>1.3187271672962818E-2</v>
      </c>
      <c r="D5">
        <f>AVERAGE('Bottle Results'!R11:R13)</f>
        <v>286.61789116058321</v>
      </c>
      <c r="E5">
        <f>_xlfn.STDEV.S('Bottle Results'!R11:R13)</f>
        <v>41.938310111426752</v>
      </c>
      <c r="F5">
        <f>AVERAGE('Bottle Results'!P11:P13)</f>
        <v>64.727957942268205</v>
      </c>
      <c r="G5">
        <f>AVERAGE('Bottle Results'!T11:T13)</f>
        <v>0.13379964355132454</v>
      </c>
      <c r="H5">
        <f>_xlfn.STDEV.S('Bottle Results'!T11:T13)</f>
        <v>2.0373378200382507E-2</v>
      </c>
      <c r="I5">
        <f>AVERAGE('Bottle Results'!D11:D13)</f>
        <v>7.0066666666666668</v>
      </c>
      <c r="J5">
        <f>_xlfn.STDEV.S('Bottle Results'!D11:D13)</f>
        <v>1.154700538379227E-2</v>
      </c>
      <c r="K5">
        <f>AVERAGE('Bottle Results'!F11:F13)</f>
        <v>3.0200000000000001E-2</v>
      </c>
      <c r="L5">
        <f>_xlfn.STDEV.S('Bottle Results'!F11:F13)</f>
        <v>1.732050807568887E-4</v>
      </c>
      <c r="M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2017-07-29T21:19:47Z</dcterms:modified>
</cp:coreProperties>
</file>