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KClOxic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4" i="8"/>
  <c r="L3" i="8"/>
  <c r="K5" i="8"/>
  <c r="K4" i="8"/>
  <c r="K3" i="8"/>
  <c r="J5" i="8"/>
  <c r="L2" i="8"/>
  <c r="K2" i="8"/>
  <c r="F13" i="5"/>
  <c r="G13" i="5" s="1"/>
  <c r="F12" i="5"/>
  <c r="G12" i="5" s="1"/>
  <c r="F11" i="5"/>
  <c r="G11" i="5" s="1"/>
  <c r="C6" i="1" l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G6" i="10" l="1"/>
  <c r="I6" i="10" s="1"/>
  <c r="I9" i="10"/>
  <c r="I8" i="10"/>
  <c r="G7" i="10"/>
  <c r="I7" i="10" s="1"/>
  <c r="G5" i="10"/>
  <c r="K5" i="10" s="1"/>
  <c r="K9" i="10"/>
  <c r="G4" i="10"/>
  <c r="K4" i="10" s="1"/>
  <c r="K8" i="10"/>
  <c r="H5" i="10"/>
  <c r="G3" i="10"/>
  <c r="K3" i="10" s="1"/>
  <c r="H4" i="10"/>
  <c r="H3" i="10"/>
  <c r="K7" i="10" l="1"/>
  <c r="I4" i="10"/>
  <c r="I5" i="10"/>
  <c r="I3" i="10"/>
  <c r="K6" i="10"/>
  <c r="K11" i="10" s="1"/>
  <c r="J4" i="8"/>
  <c r="J3" i="8"/>
  <c r="I5" i="8"/>
  <c r="I4" i="8"/>
  <c r="I3" i="8"/>
  <c r="J2" i="8"/>
  <c r="I2" i="8"/>
  <c r="I11" i="10" l="1"/>
  <c r="F3" i="2"/>
  <c r="B9" i="1" s="1"/>
  <c r="F4" i="2"/>
  <c r="J2" i="5" s="1"/>
  <c r="F5" i="2"/>
  <c r="J3" i="5" s="1"/>
  <c r="F6" i="2"/>
  <c r="J4" i="5" s="1"/>
  <c r="F7" i="2"/>
  <c r="J5" i="5" s="1"/>
  <c r="F8" i="2"/>
  <c r="J6" i="5" s="1"/>
  <c r="F9" i="2"/>
  <c r="J7" i="5" s="1"/>
  <c r="F10" i="2"/>
  <c r="J8" i="5" s="1"/>
  <c r="F11" i="2"/>
  <c r="J9" i="5" s="1"/>
  <c r="F12" i="2"/>
  <c r="J10" i="5" s="1"/>
  <c r="F13" i="2"/>
  <c r="J11" i="5" s="1"/>
  <c r="F14" i="2"/>
  <c r="J12" i="5" s="1"/>
  <c r="F15" i="2"/>
  <c r="J13" i="5" s="1"/>
  <c r="F2" i="2"/>
  <c r="B8" i="1" s="1"/>
  <c r="O12" i="5" l="1"/>
  <c r="N12" i="5"/>
  <c r="O10" i="5"/>
  <c r="N10" i="5"/>
  <c r="M2" i="8"/>
  <c r="N2" i="5"/>
  <c r="O2" i="5" s="1"/>
  <c r="N9" i="5"/>
  <c r="O9" i="5" s="1"/>
  <c r="M5" i="8"/>
  <c r="N11" i="5"/>
  <c r="O11" i="5" s="1"/>
  <c r="M4" i="8"/>
  <c r="N8" i="5"/>
  <c r="O8" i="5" s="1"/>
  <c r="N3" i="5"/>
  <c r="O3" i="5" s="1"/>
  <c r="N7" i="5"/>
  <c r="O7" i="5" s="1"/>
  <c r="P7" i="5"/>
  <c r="Q7" i="5" s="1"/>
  <c r="P6" i="5"/>
  <c r="Q6" i="5" s="1"/>
  <c r="P8" i="5"/>
  <c r="Q8" i="5" s="1"/>
  <c r="P9" i="5"/>
  <c r="Q9" i="5" s="1"/>
  <c r="P5" i="5"/>
  <c r="Q5" i="5" s="1"/>
  <c r="P13" i="5"/>
  <c r="Q13" i="5" s="1"/>
  <c r="P2" i="5"/>
  <c r="Q2" i="5" s="1"/>
  <c r="P10" i="5"/>
  <c r="Q10" i="5" s="1"/>
  <c r="P3" i="5"/>
  <c r="Q3" i="5" s="1"/>
  <c r="P11" i="5"/>
  <c r="Q11" i="5" s="1"/>
  <c r="P4" i="5"/>
  <c r="Q4" i="5" s="1"/>
  <c r="P12" i="5"/>
  <c r="Q12" i="5" s="1"/>
  <c r="N6" i="5"/>
  <c r="O6" i="5" s="1"/>
  <c r="N13" i="5"/>
  <c r="O13" i="5" s="1"/>
  <c r="M3" i="8"/>
  <c r="N5" i="5"/>
  <c r="O5" i="5" s="1"/>
  <c r="N4" i="5"/>
  <c r="K12" i="5"/>
  <c r="K11" i="5"/>
  <c r="F4" i="8"/>
  <c r="K10" i="5"/>
  <c r="K3" i="5"/>
  <c r="K9" i="5"/>
  <c r="R9" i="5"/>
  <c r="K8" i="5"/>
  <c r="K7" i="5"/>
  <c r="T7" i="5"/>
  <c r="K6" i="5"/>
  <c r="R6" i="5"/>
  <c r="K13" i="5"/>
  <c r="K5" i="5"/>
  <c r="K4" i="5"/>
  <c r="R12" i="5"/>
  <c r="T11" i="5"/>
  <c r="K2" i="5"/>
  <c r="F5" i="8" l="1"/>
  <c r="R4" i="5"/>
  <c r="T13" i="5"/>
  <c r="O4" i="5"/>
  <c r="F2" i="8"/>
  <c r="T5" i="5"/>
  <c r="F3" i="8"/>
  <c r="R3" i="5"/>
  <c r="T10" i="5"/>
  <c r="R10" i="5"/>
  <c r="T4" i="5"/>
  <c r="R5" i="5"/>
  <c r="B4" i="8"/>
  <c r="C4" i="8"/>
  <c r="R13" i="5"/>
  <c r="T12" i="5"/>
  <c r="G5" i="8" s="1"/>
  <c r="T3" i="5"/>
  <c r="T6" i="5"/>
  <c r="R8" i="5"/>
  <c r="T8" i="5"/>
  <c r="C3" i="8"/>
  <c r="B3" i="8"/>
  <c r="T9" i="5"/>
  <c r="R7" i="5"/>
  <c r="C5" i="8"/>
  <c r="B5" i="8"/>
  <c r="R11" i="5"/>
  <c r="H3" i="8" l="1"/>
  <c r="H5" i="8"/>
  <c r="G3" i="8"/>
  <c r="D3" i="8"/>
  <c r="G4" i="8"/>
  <c r="H4" i="8"/>
  <c r="E3" i="8"/>
  <c r="C2" i="8"/>
  <c r="B2" i="8"/>
  <c r="R2" i="5"/>
  <c r="T2" i="5"/>
  <c r="D5" i="8"/>
  <c r="E5" i="8"/>
  <c r="D4" i="8"/>
  <c r="E4" i="8"/>
  <c r="G2" i="8" l="1"/>
  <c r="H2" i="8"/>
  <c r="E2" i="8"/>
  <c r="D2" i="8"/>
</calcChain>
</file>

<file path=xl/sharedStrings.xml><?xml version="1.0" encoding="utf-8"?>
<sst xmlns="http://schemas.openxmlformats.org/spreadsheetml/2006/main" count="267" uniqueCount="131">
  <si>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</si>
  <si>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</si>
  <si>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</si>
  <si>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</si>
  <si>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</si>
  <si>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</si>
  <si>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</si>
  <si>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</si>
  <si>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</si>
  <si>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</si>
  <si>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</si>
  <si>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</si>
  <si>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</si>
  <si>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</si>
  <si>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</si>
  <si>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</si>
  <si>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</si>
  <si>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</si>
  <si>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</si>
  <si>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</si>
  <si>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</si>
  <si>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</si>
  <si>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</si>
  <si>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</si>
  <si>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</si>
  <si>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</si>
  <si>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</si>
  <si>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</si>
  <si>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</si>
  <si>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</si>
  <si>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</si>
  <si>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</si>
  <si>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</si>
  <si>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</si>
  <si>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</si>
  <si>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</si>
  <si>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</si>
  <si>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</si>
  <si>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</si>
  <si>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</si>
  <si>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</si>
  <si>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</si>
  <si>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</si>
  <si>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</si>
  <si>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</si>
  <si>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</si>
  <si>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</si>
  <si>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</si>
  <si>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</si>
  <si>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</si>
  <si>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</si>
  <si>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</si>
  <si>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</si>
  <si>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</si>
  <si>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</si>
  <si>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</si>
  <si>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</si>
  <si>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</si>
  <si>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</si>
  <si>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</si>
  <si>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</si>
  <si>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</si>
  <si>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</si>
  <si>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</si>
  <si>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</si>
  <si>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</si>
  <si>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</si>
  <si>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</si>
  <si>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</si>
  <si>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</si>
  <si>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</si>
  <si>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</si>
  <si>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</si>
  <si>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</si>
  <si>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</si>
  <si>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</si>
  <si>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</si>
  <si>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</si>
  <si>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</si>
  <si>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</si>
  <si>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</si>
  <si>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</si>
  <si>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</si>
  <si>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</si>
  <si>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</si>
  <si>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</si>
  <si>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</si>
  <si>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</si>
  <si>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</si>
  <si>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</si>
  <si>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</si>
  <si>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</si>
  <si>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</si>
  <si>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</si>
  <si>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</si>
  <si>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</si>
  <si>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</si>
  <si>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</si>
  <si>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</si>
  <si>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</si>
  <si>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</si>
  <si>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</si>
  <si>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MinMass (g)</t>
  </si>
  <si>
    <t>sMinMass (g)</t>
  </si>
  <si>
    <t>Ncount</t>
  </si>
  <si>
    <t>Initial</t>
  </si>
  <si>
    <t>Final</t>
  </si>
  <si>
    <t>RaGlassKCl_1A</t>
  </si>
  <si>
    <t>RaGlassKCl_1B</t>
  </si>
  <si>
    <t>RaGlassKCl_1C</t>
  </si>
  <si>
    <t>RaMontKCl_1A</t>
  </si>
  <si>
    <t>RaMontKCl_1B</t>
  </si>
  <si>
    <t>RaMontKCl_1C</t>
  </si>
  <si>
    <t>RaGOEKCl_1A</t>
  </si>
  <si>
    <t>RaGOEKCl_1B</t>
  </si>
  <si>
    <t>RaGOEKCl_1C</t>
  </si>
  <si>
    <t>RaFHYKCl_1A</t>
  </si>
  <si>
    <t>RaFHYKCl_1B</t>
  </si>
  <si>
    <t>RaFHYKCl_1C</t>
  </si>
  <si>
    <t>Multiple</t>
  </si>
  <si>
    <t>Initial Stock</t>
  </si>
  <si>
    <t>Final Stock</t>
  </si>
  <si>
    <t>FHY Slurry</t>
  </si>
  <si>
    <t>g/L Mineral</t>
  </si>
  <si>
    <t>Slurry Volume (mL)</t>
  </si>
  <si>
    <t>RaGlassKCl_1</t>
  </si>
  <si>
    <t>RaMontKCl_1</t>
  </si>
  <si>
    <t>RaGOEKCl_1</t>
  </si>
  <si>
    <t>RaFHYKCl_1</t>
  </si>
  <si>
    <t>Counted Volume (mL)</t>
  </si>
  <si>
    <t>Counted Volume Error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</si>
</sst>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66256"/>
        <c:axId val="189267040"/>
      </c:scatterChart>
      <c:valAx>
        <c:axId val="18926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267040"/>
        <c:crosses val="autoZero"/>
        <c:crossBetween val="midCat"/>
      </c:valAx>
      <c:valAx>
        <c:axId val="18926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26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68216"/>
        <c:axId val="189260768"/>
      </c:scatterChart>
      <c:valAx>
        <c:axId val="18926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260768"/>
        <c:crosses val="autoZero"/>
        <c:crossBetween val="midCat"/>
      </c:valAx>
      <c:valAx>
        <c:axId val="18926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268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42910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119</v>
      </c>
    </row>
    <row r="5" spans="1:5" x14ac:dyDescent="0.25">
      <c r="A5" t="s">
        <v>22</v>
      </c>
      <c r="B5" t="s">
        <v>96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120</v>
      </c>
      <c r="B8">
        <f>'Count-&gt;Actual Activity'!F2/5</f>
        <v>0.63239497153919078</v>
      </c>
      <c r="D8" t="s">
        <v>20</v>
      </c>
    </row>
    <row r="9" spans="1:5" x14ac:dyDescent="0.25">
      <c r="A9" t="s">
        <v>121</v>
      </c>
      <c r="B9">
        <f>'Count-&gt;Actual Activity'!F3/5</f>
        <v>0.65047671890567815</v>
      </c>
      <c r="D9" t="s">
        <v>20</v>
      </c>
    </row>
    <row r="10" spans="1:5" x14ac:dyDescent="0.25">
      <c r="A10" t="s">
        <v>122</v>
      </c>
      <c r="B10">
        <v>16.893926940639268</v>
      </c>
      <c r="C10">
        <v>1.6645205479452057</v>
      </c>
      <c r="D1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C58" sqref="C58"/>
    </sheetView>
  </sheetViews>
  <sheetFormatPr defaultRowHeight="15" x14ac:dyDescent="0.25"/>
  <cols>
    <col min="1" max="1" width="14.85546875" bestFit="1" customWidth="1"/>
    <col min="2" max="2" width="14.140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42940.578472222223</v>
      </c>
      <c r="B2" t="s">
        <v>105</v>
      </c>
      <c r="C2">
        <v>1223.5</v>
      </c>
      <c r="D2">
        <v>1.81</v>
      </c>
      <c r="E2">
        <v>0.01</v>
      </c>
      <c r="F2">
        <v>10.62</v>
      </c>
    </row>
    <row r="3" spans="1:6" x14ac:dyDescent="0.25">
      <c r="A3" s="16">
        <v>42940.578472222223</v>
      </c>
      <c r="B3" t="s">
        <v>106</v>
      </c>
      <c r="C3">
        <v>1238.2</v>
      </c>
      <c r="D3">
        <v>1.8</v>
      </c>
      <c r="E3">
        <v>0.01</v>
      </c>
      <c r="F3">
        <v>21.22</v>
      </c>
    </row>
    <row r="4" spans="1:6" x14ac:dyDescent="0.25">
      <c r="A4" s="16">
        <v>42940.578472222223</v>
      </c>
      <c r="B4" t="s">
        <v>107</v>
      </c>
      <c r="C4">
        <v>1125.9000000000001</v>
      </c>
      <c r="D4">
        <v>1.88</v>
      </c>
      <c r="E4">
        <v>0.01</v>
      </c>
      <c r="F4">
        <v>31.84</v>
      </c>
    </row>
    <row r="5" spans="1:6" x14ac:dyDescent="0.25">
      <c r="A5" s="16">
        <v>42940.578472222223</v>
      </c>
      <c r="B5" t="s">
        <v>108</v>
      </c>
      <c r="C5">
        <v>1162.8</v>
      </c>
      <c r="D5">
        <v>1.85</v>
      </c>
      <c r="E5">
        <v>0.01</v>
      </c>
      <c r="F5">
        <v>42.47</v>
      </c>
    </row>
    <row r="6" spans="1:6" x14ac:dyDescent="0.25">
      <c r="A6" s="16">
        <v>42940.578472222223</v>
      </c>
      <c r="B6" t="s">
        <v>109</v>
      </c>
      <c r="C6">
        <v>1140.8</v>
      </c>
      <c r="D6">
        <v>1.87</v>
      </c>
      <c r="E6">
        <v>0.01</v>
      </c>
      <c r="F6">
        <v>53.09</v>
      </c>
    </row>
    <row r="7" spans="1:6" x14ac:dyDescent="0.25">
      <c r="A7" s="16">
        <v>42940.578472222223</v>
      </c>
      <c r="B7" t="s">
        <v>110</v>
      </c>
      <c r="C7">
        <v>603.5</v>
      </c>
      <c r="D7">
        <v>2.57</v>
      </c>
      <c r="E7">
        <v>0.01</v>
      </c>
      <c r="F7">
        <v>63.7</v>
      </c>
    </row>
    <row r="8" spans="1:6" x14ac:dyDescent="0.25">
      <c r="A8" s="16">
        <v>42940.578472222223</v>
      </c>
      <c r="B8" t="s">
        <v>111</v>
      </c>
      <c r="C8">
        <v>560.4</v>
      </c>
      <c r="D8">
        <v>2.67</v>
      </c>
      <c r="E8">
        <v>0.01</v>
      </c>
      <c r="F8">
        <v>74.319999999999993</v>
      </c>
    </row>
    <row r="9" spans="1:6" x14ac:dyDescent="0.25">
      <c r="A9" s="16">
        <v>42940.578472222223</v>
      </c>
      <c r="B9" t="s">
        <v>112</v>
      </c>
      <c r="C9">
        <v>585.6</v>
      </c>
      <c r="D9">
        <v>2.61</v>
      </c>
      <c r="E9">
        <v>0.01</v>
      </c>
      <c r="F9">
        <v>84.94</v>
      </c>
    </row>
    <row r="10" spans="1:6" x14ac:dyDescent="0.25">
      <c r="A10" s="16">
        <v>42940.578472222223</v>
      </c>
      <c r="B10" t="s">
        <v>113</v>
      </c>
      <c r="C10">
        <v>891.1</v>
      </c>
      <c r="D10">
        <v>2.12</v>
      </c>
      <c r="E10">
        <v>0.01</v>
      </c>
      <c r="F10">
        <v>95.56</v>
      </c>
    </row>
    <row r="11" spans="1:6" x14ac:dyDescent="0.25">
      <c r="A11" s="16">
        <v>42940.578472222223</v>
      </c>
      <c r="B11" t="s">
        <v>114</v>
      </c>
      <c r="C11">
        <v>853.4</v>
      </c>
      <c r="D11">
        <v>2.16</v>
      </c>
      <c r="E11">
        <v>0.01</v>
      </c>
      <c r="F11">
        <v>106.17</v>
      </c>
    </row>
    <row r="12" spans="1:6" x14ac:dyDescent="0.25">
      <c r="A12" s="16">
        <v>42940.578472222223</v>
      </c>
      <c r="B12" t="s">
        <v>115</v>
      </c>
      <c r="C12">
        <v>878.1</v>
      </c>
      <c r="D12">
        <v>2.13</v>
      </c>
      <c r="E12">
        <v>0.01</v>
      </c>
      <c r="F12">
        <v>116.79</v>
      </c>
    </row>
    <row r="13" spans="1:6" x14ac:dyDescent="0.25">
      <c r="A13" s="16">
        <v>42940.578472222223</v>
      </c>
      <c r="B13" t="s">
        <v>116</v>
      </c>
      <c r="C13">
        <v>578.70000000000005</v>
      </c>
      <c r="D13">
        <v>2.63</v>
      </c>
      <c r="E13">
        <v>0.01</v>
      </c>
      <c r="F13">
        <v>127.42</v>
      </c>
    </row>
    <row r="14" spans="1:6" x14ac:dyDescent="0.25">
      <c r="A14" s="16">
        <v>42940.578472222223</v>
      </c>
      <c r="B14" t="s">
        <v>117</v>
      </c>
      <c r="C14">
        <v>672.5</v>
      </c>
      <c r="D14">
        <v>2.44</v>
      </c>
      <c r="E14">
        <v>0.01</v>
      </c>
      <c r="F14">
        <v>138.13999999999999</v>
      </c>
    </row>
    <row r="15" spans="1:6" x14ac:dyDescent="0.25">
      <c r="A15" s="16">
        <v>42940.578472222223</v>
      </c>
      <c r="B15" t="s">
        <v>118</v>
      </c>
      <c r="C15">
        <v>665</v>
      </c>
      <c r="D15">
        <v>2.4500000000000002</v>
      </c>
      <c r="E15">
        <v>0.01</v>
      </c>
      <c r="F15">
        <v>148.77000000000001</v>
      </c>
    </row>
    <row r="16" spans="1:6" x14ac:dyDescent="0.25">
      <c r="A16" s="16">
        <v>42942.495833333334</v>
      </c>
      <c r="B16" t="s">
        <v>105</v>
      </c>
      <c r="C16">
        <v>1219.4000000000001</v>
      </c>
      <c r="D16">
        <v>1.81</v>
      </c>
      <c r="E16">
        <v>0.01</v>
      </c>
      <c r="F16">
        <v>10.53</v>
      </c>
    </row>
    <row r="17" spans="1:6" x14ac:dyDescent="0.25">
      <c r="A17" s="16">
        <v>42942.495833333334</v>
      </c>
      <c r="B17" t="s">
        <v>106</v>
      </c>
      <c r="C17">
        <v>1235.0999999999999</v>
      </c>
      <c r="D17">
        <v>1.8</v>
      </c>
      <c r="E17">
        <v>0.01</v>
      </c>
      <c r="F17">
        <v>21.14</v>
      </c>
    </row>
    <row r="18" spans="1:6" x14ac:dyDescent="0.25">
      <c r="A18" s="16">
        <v>42942.495833333334</v>
      </c>
      <c r="B18" t="s">
        <v>107</v>
      </c>
      <c r="C18">
        <v>1103.2</v>
      </c>
      <c r="D18">
        <v>1.9</v>
      </c>
      <c r="E18">
        <v>0.01</v>
      </c>
      <c r="F18">
        <v>31.77</v>
      </c>
    </row>
    <row r="19" spans="1:6" x14ac:dyDescent="0.25">
      <c r="A19" s="16">
        <v>42942.495833333334</v>
      </c>
      <c r="B19" t="s">
        <v>108</v>
      </c>
      <c r="C19">
        <v>1105</v>
      </c>
      <c r="D19">
        <v>1.9</v>
      </c>
      <c r="E19">
        <v>0.01</v>
      </c>
      <c r="F19">
        <v>42.39</v>
      </c>
    </row>
    <row r="20" spans="1:6" x14ac:dyDescent="0.25">
      <c r="A20" s="16">
        <v>42942.495833333334</v>
      </c>
      <c r="B20" t="s">
        <v>109</v>
      </c>
      <c r="C20">
        <v>1098.5999999999999</v>
      </c>
      <c r="D20">
        <v>1.91</v>
      </c>
      <c r="E20">
        <v>0.01</v>
      </c>
      <c r="F20">
        <v>53</v>
      </c>
    </row>
    <row r="21" spans="1:6" x14ac:dyDescent="0.25">
      <c r="A21" s="16">
        <v>42942.495833333334</v>
      </c>
      <c r="B21" t="s">
        <v>110</v>
      </c>
      <c r="C21">
        <v>597.5</v>
      </c>
      <c r="D21">
        <v>2.59</v>
      </c>
      <c r="E21">
        <v>0.01</v>
      </c>
      <c r="F21">
        <v>63.62</v>
      </c>
    </row>
    <row r="22" spans="1:6" x14ac:dyDescent="0.25">
      <c r="A22" s="16">
        <v>42942.495833333334</v>
      </c>
      <c r="B22" t="s">
        <v>111</v>
      </c>
      <c r="C22">
        <v>562.70000000000005</v>
      </c>
      <c r="D22">
        <v>2.67</v>
      </c>
      <c r="E22">
        <v>0.02</v>
      </c>
      <c r="F22">
        <v>74.25</v>
      </c>
    </row>
    <row r="23" spans="1:6" x14ac:dyDescent="0.25">
      <c r="A23" s="16">
        <v>42942.495833333334</v>
      </c>
      <c r="B23" t="s">
        <v>112</v>
      </c>
      <c r="C23">
        <v>581.6</v>
      </c>
      <c r="D23">
        <v>2.62</v>
      </c>
      <c r="E23">
        <v>0.02</v>
      </c>
      <c r="F23">
        <v>84.87</v>
      </c>
    </row>
    <row r="24" spans="1:6" x14ac:dyDescent="0.25">
      <c r="A24" s="16">
        <v>42942.495833333334</v>
      </c>
      <c r="B24" t="s">
        <v>113</v>
      </c>
      <c r="C24">
        <v>874.3</v>
      </c>
      <c r="D24">
        <v>2.14</v>
      </c>
      <c r="E24">
        <v>0.01</v>
      </c>
      <c r="F24">
        <v>95.47</v>
      </c>
    </row>
    <row r="25" spans="1:6" x14ac:dyDescent="0.25">
      <c r="A25" s="16">
        <v>42942.495833333334</v>
      </c>
      <c r="B25" t="s">
        <v>114</v>
      </c>
      <c r="C25">
        <v>850.9</v>
      </c>
      <c r="D25">
        <v>2.17</v>
      </c>
      <c r="E25">
        <v>0.01</v>
      </c>
      <c r="F25">
        <v>106.1</v>
      </c>
    </row>
    <row r="26" spans="1:6" x14ac:dyDescent="0.25">
      <c r="A26" s="16">
        <v>42942.495833333334</v>
      </c>
      <c r="B26" t="s">
        <v>115</v>
      </c>
      <c r="C26">
        <v>877.6</v>
      </c>
      <c r="D26">
        <v>2.13</v>
      </c>
      <c r="E26">
        <v>0.01</v>
      </c>
      <c r="F26">
        <v>116.72</v>
      </c>
    </row>
    <row r="27" spans="1:6" x14ac:dyDescent="0.25">
      <c r="A27" s="16">
        <v>42942.495833333334</v>
      </c>
      <c r="B27" t="s">
        <v>116</v>
      </c>
      <c r="C27">
        <v>587.5</v>
      </c>
      <c r="D27">
        <v>2.61</v>
      </c>
      <c r="E27">
        <v>0.01</v>
      </c>
      <c r="F27">
        <v>127.36</v>
      </c>
    </row>
    <row r="28" spans="1:6" x14ac:dyDescent="0.25">
      <c r="A28" s="16">
        <v>42942.495833333334</v>
      </c>
      <c r="B28" t="s">
        <v>117</v>
      </c>
      <c r="C28">
        <v>647.29999999999995</v>
      </c>
      <c r="D28">
        <v>2.4900000000000002</v>
      </c>
      <c r="E28">
        <v>0.01</v>
      </c>
      <c r="F28">
        <v>138.09</v>
      </c>
    </row>
    <row r="29" spans="1:6" x14ac:dyDescent="0.25">
      <c r="A29" s="16">
        <v>42942.495833333334</v>
      </c>
      <c r="B29" t="s">
        <v>118</v>
      </c>
      <c r="C29">
        <v>655.8</v>
      </c>
      <c r="D29">
        <v>2.4700000000000002</v>
      </c>
      <c r="E29">
        <v>0.01</v>
      </c>
      <c r="F29">
        <v>148.71</v>
      </c>
    </row>
    <row r="30" spans="1:6" x14ac:dyDescent="0.25">
      <c r="A30" s="16">
        <v>42943.34652777778</v>
      </c>
      <c r="B30" t="s">
        <v>105</v>
      </c>
      <c r="C30">
        <v>1175.3</v>
      </c>
      <c r="D30">
        <v>1.84</v>
      </c>
      <c r="E30">
        <v>0.01</v>
      </c>
      <c r="F30">
        <v>10.62</v>
      </c>
    </row>
    <row r="31" spans="1:6" x14ac:dyDescent="0.25">
      <c r="A31" s="16">
        <v>42943.34652777778</v>
      </c>
      <c r="B31" t="s">
        <v>106</v>
      </c>
      <c r="C31">
        <v>1235.2</v>
      </c>
      <c r="D31">
        <v>1.8</v>
      </c>
      <c r="E31">
        <v>0.01</v>
      </c>
      <c r="F31">
        <v>21.22</v>
      </c>
    </row>
    <row r="32" spans="1:6" x14ac:dyDescent="0.25">
      <c r="A32" s="16">
        <v>42943.34652777778</v>
      </c>
      <c r="B32" t="s">
        <v>107</v>
      </c>
      <c r="C32">
        <v>1084.8</v>
      </c>
      <c r="D32">
        <v>1.92</v>
      </c>
      <c r="E32">
        <v>0.01</v>
      </c>
      <c r="F32">
        <v>31.84</v>
      </c>
    </row>
    <row r="33" spans="1:6" x14ac:dyDescent="0.25">
      <c r="A33" s="16">
        <v>42943.34652777778</v>
      </c>
      <c r="B33" t="s">
        <v>108</v>
      </c>
      <c r="C33">
        <v>1136.5</v>
      </c>
      <c r="D33">
        <v>1.88</v>
      </c>
      <c r="E33">
        <v>0.01</v>
      </c>
      <c r="F33">
        <v>42.47</v>
      </c>
    </row>
    <row r="34" spans="1:6" x14ac:dyDescent="0.25">
      <c r="A34" s="16">
        <v>42943.34652777778</v>
      </c>
      <c r="B34" t="s">
        <v>109</v>
      </c>
      <c r="C34">
        <v>1121.3</v>
      </c>
      <c r="D34">
        <v>1.89</v>
      </c>
      <c r="E34">
        <v>0.01</v>
      </c>
      <c r="F34">
        <v>53.09</v>
      </c>
    </row>
    <row r="35" spans="1:6" x14ac:dyDescent="0.25">
      <c r="A35" s="16">
        <v>42943.34652777778</v>
      </c>
      <c r="B35" t="s">
        <v>110</v>
      </c>
      <c r="C35">
        <v>579.79999999999995</v>
      </c>
      <c r="D35">
        <v>2.63</v>
      </c>
      <c r="E35">
        <v>0.01</v>
      </c>
      <c r="F35">
        <v>63.73</v>
      </c>
    </row>
    <row r="36" spans="1:6" x14ac:dyDescent="0.25">
      <c r="A36" s="16">
        <v>42943.34652777778</v>
      </c>
      <c r="B36" t="s">
        <v>111</v>
      </c>
      <c r="C36">
        <v>541</v>
      </c>
      <c r="D36">
        <v>2.72</v>
      </c>
      <c r="E36">
        <v>0.02</v>
      </c>
      <c r="F36">
        <v>74.34</v>
      </c>
    </row>
    <row r="37" spans="1:6" x14ac:dyDescent="0.25">
      <c r="A37" s="16">
        <v>42943.34652777778</v>
      </c>
      <c r="B37" t="s">
        <v>112</v>
      </c>
      <c r="C37">
        <v>569.70000000000005</v>
      </c>
      <c r="D37">
        <v>2.65</v>
      </c>
      <c r="E37">
        <v>0.02</v>
      </c>
      <c r="F37">
        <v>84.96</v>
      </c>
    </row>
    <row r="38" spans="1:6" x14ac:dyDescent="0.25">
      <c r="A38" s="16">
        <v>42943.34652777778</v>
      </c>
      <c r="B38" t="s">
        <v>113</v>
      </c>
      <c r="C38">
        <v>865.5</v>
      </c>
      <c r="D38">
        <v>2.15</v>
      </c>
      <c r="E38">
        <v>0.01</v>
      </c>
      <c r="F38">
        <v>95.59</v>
      </c>
    </row>
    <row r="39" spans="1:6" x14ac:dyDescent="0.25">
      <c r="A39" s="16">
        <v>42943.34652777778</v>
      </c>
      <c r="B39" t="s">
        <v>114</v>
      </c>
      <c r="C39">
        <v>832.9</v>
      </c>
      <c r="D39">
        <v>2.19</v>
      </c>
      <c r="E39">
        <v>0.01</v>
      </c>
      <c r="F39">
        <v>106.2</v>
      </c>
    </row>
    <row r="40" spans="1:6" x14ac:dyDescent="0.25">
      <c r="A40" s="16">
        <v>42943.34652777778</v>
      </c>
      <c r="B40" t="s">
        <v>115</v>
      </c>
      <c r="C40">
        <v>861.1</v>
      </c>
      <c r="D40">
        <v>2.16</v>
      </c>
      <c r="E40">
        <v>0.01</v>
      </c>
      <c r="F40">
        <v>116.82</v>
      </c>
    </row>
    <row r="41" spans="1:6" x14ac:dyDescent="0.25">
      <c r="A41" s="16">
        <v>42943.34652777778</v>
      </c>
      <c r="B41" t="s">
        <v>116</v>
      </c>
      <c r="C41">
        <v>580.9</v>
      </c>
      <c r="D41">
        <v>2.62</v>
      </c>
      <c r="E41">
        <v>0.01</v>
      </c>
      <c r="F41">
        <v>127.44</v>
      </c>
    </row>
    <row r="42" spans="1:6" x14ac:dyDescent="0.25">
      <c r="A42" s="16">
        <v>42943.34652777778</v>
      </c>
      <c r="B42" t="s">
        <v>117</v>
      </c>
      <c r="C42">
        <v>663.4</v>
      </c>
      <c r="D42">
        <v>2.46</v>
      </c>
      <c r="E42">
        <v>0.01</v>
      </c>
      <c r="F42">
        <v>138.16999999999999</v>
      </c>
    </row>
    <row r="43" spans="1:6" x14ac:dyDescent="0.25">
      <c r="A43" s="16">
        <v>42943.34652777778</v>
      </c>
      <c r="B43" t="s">
        <v>118</v>
      </c>
      <c r="C43">
        <v>641.9</v>
      </c>
      <c r="D43">
        <v>2.5</v>
      </c>
      <c r="E43">
        <v>0.01</v>
      </c>
      <c r="F43">
        <v>148.81</v>
      </c>
    </row>
    <row r="44" spans="1:6" x14ac:dyDescent="0.25">
      <c r="A44" s="16">
        <v>42944.540972222225</v>
      </c>
      <c r="B44" t="s">
        <v>105</v>
      </c>
      <c r="C44">
        <v>1208.5</v>
      </c>
      <c r="D44">
        <v>1.82</v>
      </c>
      <c r="E44">
        <v>0.01</v>
      </c>
      <c r="F44">
        <v>10.62</v>
      </c>
    </row>
    <row r="45" spans="1:6" x14ac:dyDescent="0.25">
      <c r="A45" s="16">
        <v>42944.540972222225</v>
      </c>
      <c r="B45" t="s">
        <v>106</v>
      </c>
      <c r="C45">
        <v>1254.5</v>
      </c>
      <c r="D45">
        <v>1.79</v>
      </c>
      <c r="E45">
        <v>0.01</v>
      </c>
      <c r="F45">
        <v>21.23</v>
      </c>
    </row>
    <row r="46" spans="1:6" x14ac:dyDescent="0.25">
      <c r="A46" s="16">
        <v>42944.540972222225</v>
      </c>
      <c r="B46" t="s">
        <v>107</v>
      </c>
      <c r="C46">
        <v>1107.9000000000001</v>
      </c>
      <c r="D46">
        <v>1.9</v>
      </c>
      <c r="E46">
        <v>0.01</v>
      </c>
      <c r="F46">
        <v>31.84</v>
      </c>
    </row>
    <row r="47" spans="1:6" x14ac:dyDescent="0.25">
      <c r="A47" s="16">
        <v>42944.540972222225</v>
      </c>
      <c r="B47" t="s">
        <v>108</v>
      </c>
      <c r="C47">
        <v>1116.9000000000001</v>
      </c>
      <c r="D47">
        <v>1.89</v>
      </c>
      <c r="E47">
        <v>0.01</v>
      </c>
      <c r="F47">
        <v>42.47</v>
      </c>
    </row>
    <row r="48" spans="1:6" x14ac:dyDescent="0.25">
      <c r="A48" s="16">
        <v>42944.540972222225</v>
      </c>
      <c r="B48" t="s">
        <v>109</v>
      </c>
      <c r="C48">
        <v>1109.7</v>
      </c>
      <c r="D48">
        <v>1.9</v>
      </c>
      <c r="E48">
        <v>0.01</v>
      </c>
      <c r="F48">
        <v>53.09</v>
      </c>
    </row>
    <row r="49" spans="1:6" x14ac:dyDescent="0.25">
      <c r="A49" s="16">
        <v>42944.540972222225</v>
      </c>
      <c r="B49" t="s">
        <v>110</v>
      </c>
      <c r="C49">
        <v>573.9</v>
      </c>
      <c r="D49">
        <v>2.64</v>
      </c>
      <c r="E49">
        <v>0.01</v>
      </c>
      <c r="F49">
        <v>63.71</v>
      </c>
    </row>
    <row r="50" spans="1:6" x14ac:dyDescent="0.25">
      <c r="A50" s="16">
        <v>42944.540972222225</v>
      </c>
      <c r="B50" t="s">
        <v>111</v>
      </c>
      <c r="C50">
        <v>554.1</v>
      </c>
      <c r="D50">
        <v>2.69</v>
      </c>
      <c r="E50">
        <v>0.02</v>
      </c>
      <c r="F50">
        <v>74.34</v>
      </c>
    </row>
    <row r="51" spans="1:6" x14ac:dyDescent="0.25">
      <c r="A51" s="16">
        <v>42944.540972222225</v>
      </c>
      <c r="B51" t="s">
        <v>112</v>
      </c>
      <c r="C51">
        <v>563.6</v>
      </c>
      <c r="D51">
        <v>2.66</v>
      </c>
      <c r="E51">
        <v>0.02</v>
      </c>
      <c r="F51">
        <v>84.96</v>
      </c>
    </row>
    <row r="52" spans="1:6" x14ac:dyDescent="0.25">
      <c r="A52" s="16">
        <v>42944.540972222225</v>
      </c>
      <c r="B52" t="s">
        <v>113</v>
      </c>
      <c r="C52">
        <v>856.4</v>
      </c>
      <c r="D52">
        <v>2.16</v>
      </c>
      <c r="E52">
        <v>0.01</v>
      </c>
      <c r="F52">
        <v>95.59</v>
      </c>
    </row>
    <row r="53" spans="1:6" x14ac:dyDescent="0.25">
      <c r="A53" s="16">
        <v>42944.540972222225</v>
      </c>
      <c r="B53" t="s">
        <v>114</v>
      </c>
      <c r="C53">
        <v>861.6</v>
      </c>
      <c r="D53">
        <v>2.15</v>
      </c>
      <c r="E53">
        <v>0.01</v>
      </c>
      <c r="F53">
        <v>106.2</v>
      </c>
    </row>
    <row r="54" spans="1:6" x14ac:dyDescent="0.25">
      <c r="A54" s="16">
        <v>42944.540972222225</v>
      </c>
      <c r="B54" t="s">
        <v>115</v>
      </c>
      <c r="C54">
        <v>885.1</v>
      </c>
      <c r="D54">
        <v>2.13</v>
      </c>
      <c r="E54">
        <v>0.01</v>
      </c>
      <c r="F54">
        <v>116.82</v>
      </c>
    </row>
    <row r="55" spans="1:6" x14ac:dyDescent="0.25">
      <c r="A55" s="16">
        <v>42944.540972222225</v>
      </c>
      <c r="B55" t="s">
        <v>116</v>
      </c>
      <c r="C55">
        <v>575.4</v>
      </c>
      <c r="D55">
        <v>2.64</v>
      </c>
      <c r="E55">
        <v>0.02</v>
      </c>
      <c r="F55">
        <v>127.44</v>
      </c>
    </row>
    <row r="56" spans="1:6" x14ac:dyDescent="0.25">
      <c r="A56" s="16">
        <v>42944.540972222225</v>
      </c>
      <c r="B56" t="s">
        <v>117</v>
      </c>
      <c r="C56">
        <v>669.9</v>
      </c>
      <c r="D56">
        <v>2.44</v>
      </c>
      <c r="E56">
        <v>0.01</v>
      </c>
      <c r="F56">
        <v>138.16999999999999</v>
      </c>
    </row>
    <row r="57" spans="1:6" x14ac:dyDescent="0.25">
      <c r="A57" s="16">
        <v>42944.540972222225</v>
      </c>
      <c r="B57" t="s">
        <v>118</v>
      </c>
      <c r="C57">
        <v>625.20000000000005</v>
      </c>
      <c r="D57">
        <v>2.5299999999999998</v>
      </c>
      <c r="E57">
        <v>0.01</v>
      </c>
      <c r="F57">
        <v>148.80000000000001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13" sqref="C1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91</v>
      </c>
      <c r="G1" s="2" t="s">
        <v>92</v>
      </c>
      <c r="H1" s="2" t="s">
        <v>93</v>
      </c>
      <c r="I1" s="18" t="s">
        <v>94</v>
      </c>
      <c r="J1" s="18" t="s">
        <v>95</v>
      </c>
      <c r="K1" s="2" t="s">
        <v>94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96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97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98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99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100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101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" sqref="C2:D15"/>
    </sheetView>
  </sheetViews>
  <sheetFormatPr defaultRowHeight="15" x14ac:dyDescent="0.25"/>
  <cols>
    <col min="1" max="1" width="14.1406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82</v>
      </c>
      <c r="C1" t="s">
        <v>23</v>
      </c>
      <c r="D1" t="s">
        <v>21</v>
      </c>
      <c r="E1" t="s">
        <v>79</v>
      </c>
      <c r="F1" t="s">
        <v>80</v>
      </c>
      <c r="G1" t="s">
        <v>81</v>
      </c>
    </row>
    <row r="2" spans="1:7" x14ac:dyDescent="0.25">
      <c r="A2" t="s">
        <v>105</v>
      </c>
      <c r="B2" s="14" t="s">
        <v>83</v>
      </c>
      <c r="C2">
        <v>20.111249999999998</v>
      </c>
      <c r="D2">
        <v>0.36602475000000001</v>
      </c>
      <c r="E2" s="1" t="s">
        <v>45</v>
      </c>
      <c r="F2" s="1">
        <f>C2*'Calibration Data'!$B$31+'Calibration Data'!$B$30</f>
        <v>3.1619748576959537</v>
      </c>
      <c r="G2" s="15">
        <f>'Calibration Data'!$B$20</f>
        <v>0.15745067498955981</v>
      </c>
    </row>
    <row r="3" spans="1:7" x14ac:dyDescent="0.25">
      <c r="A3" t="s">
        <v>106</v>
      </c>
      <c r="B3" s="14" t="s">
        <v>83</v>
      </c>
      <c r="C3">
        <v>20.679166666666671</v>
      </c>
      <c r="D3">
        <v>0.37170802083333337</v>
      </c>
      <c r="E3" s="1" t="s">
        <v>45</v>
      </c>
      <c r="F3" s="1">
        <f>C3*'Calibration Data'!$B$31+'Calibration Data'!$B$30</f>
        <v>3.2523835945283905</v>
      </c>
      <c r="G3" s="15">
        <f>'Calibration Data'!$B$20</f>
        <v>0.15745067498955981</v>
      </c>
    </row>
    <row r="4" spans="1:7" x14ac:dyDescent="0.25">
      <c r="A4" t="s">
        <v>107</v>
      </c>
      <c r="B4" s="14" t="s">
        <v>83</v>
      </c>
      <c r="C4">
        <v>18.424166666666672</v>
      </c>
      <c r="D4">
        <v>0.3500591666666667</v>
      </c>
      <c r="E4" s="1" t="s">
        <v>45</v>
      </c>
      <c r="F4" s="1">
        <f>C4*'Calibration Data'!$B$31+'Calibration Data'!$B$30</f>
        <v>2.8934018749853645</v>
      </c>
      <c r="G4" s="15">
        <f>'Calibration Data'!$B$20</f>
        <v>0.15745067498955981</v>
      </c>
    </row>
    <row r="5" spans="1:7" x14ac:dyDescent="0.25">
      <c r="A5" t="s">
        <v>108</v>
      </c>
      <c r="B5" s="14" t="s">
        <v>83</v>
      </c>
      <c r="C5">
        <v>18.838333333333331</v>
      </c>
      <c r="D5">
        <v>0.35416066666666668</v>
      </c>
      <c r="E5" s="1" t="s">
        <v>45</v>
      </c>
      <c r="F5" s="1">
        <f>C5*'Calibration Data'!$B$31+'Calibration Data'!$B$30</f>
        <v>2.9593345854853208</v>
      </c>
      <c r="G5" s="15">
        <f>'Calibration Data'!$B$20</f>
        <v>0.15745067498955981</v>
      </c>
    </row>
    <row r="6" spans="1:7" x14ac:dyDescent="0.25">
      <c r="A6" t="s">
        <v>109</v>
      </c>
      <c r="B6" s="14" t="s">
        <v>83</v>
      </c>
      <c r="C6">
        <v>18.626666666666669</v>
      </c>
      <c r="D6">
        <v>0.35250966666666672</v>
      </c>
      <c r="E6" s="1" t="s">
        <v>45</v>
      </c>
      <c r="F6" s="1">
        <f>C6*'Calibration Data'!$B$31+'Calibration Data'!$B$30</f>
        <v>2.9256385925939949</v>
      </c>
      <c r="G6" s="15">
        <f>'Calibration Data'!$B$20</f>
        <v>0.15745067498955981</v>
      </c>
    </row>
    <row r="7" spans="1:7" x14ac:dyDescent="0.25">
      <c r="A7" t="s">
        <v>110</v>
      </c>
      <c r="B7" s="14" t="s">
        <v>83</v>
      </c>
      <c r="C7">
        <v>9.8112500000000011</v>
      </c>
      <c r="D7">
        <v>0.25582834375000002</v>
      </c>
      <c r="E7" s="1" t="s">
        <v>45</v>
      </c>
      <c r="F7" s="1">
        <f>C7*'Calibration Data'!$B$31+'Calibration Data'!$B$30</f>
        <v>1.5222800855038612</v>
      </c>
      <c r="G7" s="15">
        <f>'Calibration Data'!$B$20</f>
        <v>0.15745067498955981</v>
      </c>
    </row>
    <row r="8" spans="1:7" ht="15.75" customHeight="1" x14ac:dyDescent="0.25">
      <c r="A8" t="s">
        <v>111</v>
      </c>
      <c r="B8" s="14" t="s">
        <v>83</v>
      </c>
      <c r="C8">
        <v>9.2424999999999997</v>
      </c>
      <c r="D8">
        <v>0.2483921875</v>
      </c>
      <c r="E8" s="1" t="s">
        <v>45</v>
      </c>
      <c r="F8" s="1">
        <f>C8*'Calibration Data'!$B$31+'Calibration Data'!$B$30</f>
        <v>1.4317386872820888</v>
      </c>
      <c r="G8" s="15">
        <f>'Calibration Data'!$B$20</f>
        <v>0.15745067498955981</v>
      </c>
    </row>
    <row r="9" spans="1:7" x14ac:dyDescent="0.25">
      <c r="A9" t="s">
        <v>112</v>
      </c>
      <c r="B9" s="14" t="s">
        <v>83</v>
      </c>
      <c r="C9">
        <v>9.5854166666666671</v>
      </c>
      <c r="D9">
        <v>0.25257572916666671</v>
      </c>
      <c r="E9" s="1" t="s">
        <v>45</v>
      </c>
      <c r="F9" s="1">
        <f>C9*'Calibration Data'!$B$31+'Calibration Data'!$B$30</f>
        <v>1.486328848993824</v>
      </c>
      <c r="G9" s="15">
        <f>'Calibration Data'!$B$20</f>
        <v>0.15745067498955981</v>
      </c>
    </row>
    <row r="10" spans="1:7" x14ac:dyDescent="0.25">
      <c r="A10" t="s">
        <v>113</v>
      </c>
      <c r="B10" s="14" t="s">
        <v>83</v>
      </c>
      <c r="C10">
        <v>14.530416666666669</v>
      </c>
      <c r="D10">
        <v>0.31131417708333331</v>
      </c>
      <c r="E10" s="1" t="s">
        <v>45</v>
      </c>
      <c r="F10" s="1">
        <f>C10*'Calibration Data'!$B$31+'Calibration Data'!$B$30</f>
        <v>2.2735415333132321</v>
      </c>
      <c r="G10" s="15">
        <f>'Calibration Data'!$B$20</f>
        <v>0.15745067498955981</v>
      </c>
    </row>
    <row r="11" spans="1:7" x14ac:dyDescent="0.25">
      <c r="A11" t="s">
        <v>114</v>
      </c>
      <c r="B11" s="14" t="s">
        <v>83</v>
      </c>
      <c r="C11">
        <v>14.161666666666671</v>
      </c>
      <c r="D11">
        <v>0.30695412500000002</v>
      </c>
      <c r="E11" s="1" t="s">
        <v>45</v>
      </c>
      <c r="F11" s="1">
        <f>C11*'Calibration Data'!$B$31+'Calibration Data'!$B$30</f>
        <v>2.2148388685320834</v>
      </c>
      <c r="G11" s="15">
        <f>'Calibration Data'!$B$20</f>
        <v>0.15745067498955981</v>
      </c>
    </row>
    <row r="12" spans="1:7" x14ac:dyDescent="0.25">
      <c r="A12" t="s">
        <v>115</v>
      </c>
      <c r="B12" s="14" t="s">
        <v>83</v>
      </c>
      <c r="C12">
        <v>14.59125</v>
      </c>
      <c r="D12">
        <v>0.31188796875000002</v>
      </c>
      <c r="E12" s="1" t="s">
        <v>45</v>
      </c>
      <c r="F12" s="1">
        <f>C12*'Calibration Data'!$B$31+'Calibration Data'!$B$30</f>
        <v>2.2832258147347546</v>
      </c>
      <c r="G12" s="15">
        <f>'Calibration Data'!$B$20</f>
        <v>0.15745067498955981</v>
      </c>
    </row>
    <row r="13" spans="1:7" x14ac:dyDescent="0.25">
      <c r="A13" t="s">
        <v>116</v>
      </c>
      <c r="B13" s="14" t="s">
        <v>83</v>
      </c>
      <c r="C13">
        <v>9.6770833333333339</v>
      </c>
      <c r="D13">
        <v>0.2540234375</v>
      </c>
      <c r="E13" s="1" t="s">
        <v>45</v>
      </c>
      <c r="F13" s="1">
        <f>C13*'Calibration Data'!$B$31+'Calibration Data'!$B$30</f>
        <v>1.5009216018207763</v>
      </c>
      <c r="G13" s="15">
        <f>'Calibration Data'!$B$20</f>
        <v>0.15745067498955981</v>
      </c>
    </row>
    <row r="14" spans="1:7" x14ac:dyDescent="0.25">
      <c r="A14" t="s">
        <v>117</v>
      </c>
      <c r="B14" s="14" t="s">
        <v>83</v>
      </c>
      <c r="C14">
        <v>11.05458333333333</v>
      </c>
      <c r="D14">
        <v>0.27166638541666671</v>
      </c>
      <c r="E14" s="1" t="s">
        <v>45</v>
      </c>
      <c r="F14" s="1">
        <f>C14*'Calibration Data'!$B$31+'Calibration Data'!$B$30</f>
        <v>1.7202108783930676</v>
      </c>
      <c r="G14" s="15">
        <f>'Calibration Data'!$B$20</f>
        <v>0.15745067498955981</v>
      </c>
    </row>
    <row r="15" spans="1:7" x14ac:dyDescent="0.25">
      <c r="A15" t="s">
        <v>118</v>
      </c>
      <c r="B15" s="14" t="s">
        <v>83</v>
      </c>
      <c r="C15">
        <v>10.78291666666667</v>
      </c>
      <c r="D15">
        <v>0.26822505208333342</v>
      </c>
      <c r="E15" s="1" t="s">
        <v>45</v>
      </c>
      <c r="F15" s="1">
        <f>C15*'Calibration Data'!$B$31+'Calibration Data'!$B$30</f>
        <v>1.6769632654695557</v>
      </c>
      <c r="G15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RowHeight="15" x14ac:dyDescent="0.25"/>
  <cols>
    <col min="1" max="1" width="14.1406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42578125" customWidth="1"/>
    <col min="13" max="13" width="25.71093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124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129</v>
      </c>
      <c r="M1" t="s">
        <v>130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87</v>
      </c>
    </row>
    <row r="2" spans="1:20" x14ac:dyDescent="0.25">
      <c r="A2" t="s">
        <v>107</v>
      </c>
      <c r="B2">
        <v>100</v>
      </c>
      <c r="C2">
        <v>0.08</v>
      </c>
      <c r="D2" s="1">
        <v>7.02</v>
      </c>
      <c r="E2" s="1"/>
      <c r="F2" s="1">
        <v>0</v>
      </c>
      <c r="G2" s="1">
        <v>0</v>
      </c>
      <c r="H2" s="1">
        <v>100</v>
      </c>
      <c r="I2" s="1">
        <v>5</v>
      </c>
      <c r="J2" s="1">
        <f>'Count-&gt;Actual Activity'!F4</f>
        <v>2.8934018749853645</v>
      </c>
      <c r="K2" s="1">
        <f>'Count-&gt;Actual Activity'!G2</f>
        <v>0.15745067498955981</v>
      </c>
      <c r="L2" s="1">
        <v>5</v>
      </c>
      <c r="M2" s="1">
        <v>0.01</v>
      </c>
      <c r="N2">
        <f t="shared" ref="N2:N13" si="0">J2/L2</f>
        <v>0.57868037499707292</v>
      </c>
      <c r="O2">
        <f>SQRT((M2/L2)^2+(K2/J2)^2)*N2</f>
        <v>3.151139613048503E-2</v>
      </c>
      <c r="P2">
        <f>B2*AVERAGE(Parameters!$B$8:$B$9)</f>
        <v>64.143584522243444</v>
      </c>
      <c r="Q2">
        <f>SQRT((C2/B2)^2+(Parameters!$C$6/Parameters!$B$6)^2)*'Bottle Results'!P2</f>
        <v>2.8183390483727608</v>
      </c>
      <c r="R2" t="e">
        <f t="shared" ref="R2:R13" si="1">(P2-N2*H2)/F2</f>
        <v>#DIV/0!</v>
      </c>
      <c r="T2">
        <f t="shared" ref="T2:T13" si="2">(P2-N2*H2)/P2</f>
        <v>9.7835926527616246E-2</v>
      </c>
    </row>
    <row r="3" spans="1:20" x14ac:dyDescent="0.25">
      <c r="A3" t="s">
        <v>108</v>
      </c>
      <c r="B3">
        <v>100</v>
      </c>
      <c r="C3">
        <v>0.08</v>
      </c>
      <c r="D3" s="1">
        <v>7.04</v>
      </c>
      <c r="E3" s="1"/>
      <c r="F3" s="1">
        <v>0</v>
      </c>
      <c r="G3" s="1">
        <v>0</v>
      </c>
      <c r="H3" s="1">
        <v>100</v>
      </c>
      <c r="I3" s="1">
        <v>5</v>
      </c>
      <c r="J3" s="1">
        <f>'Count-&gt;Actual Activity'!F5</f>
        <v>2.9593345854853208</v>
      </c>
      <c r="K3" s="1">
        <f>'Count-&gt;Actual Activity'!G3</f>
        <v>0.15745067498955981</v>
      </c>
      <c r="L3" s="1">
        <v>5</v>
      </c>
      <c r="M3" s="1">
        <v>0.01</v>
      </c>
      <c r="N3">
        <f t="shared" si="0"/>
        <v>0.59186691709706418</v>
      </c>
      <c r="O3">
        <f t="shared" ref="O3:O13" si="3">SQRT((M3/L3)^2+(K3/J3)^2)*N3</f>
        <v>3.1512375790741891E-2</v>
      </c>
      <c r="P3">
        <f>B3*AVERAGE(Parameters!$B$8:$B$9)</f>
        <v>64.143584522243444</v>
      </c>
      <c r="Q3">
        <f>SQRT((C3/B3)^2+(Parameters!$C$6/Parameters!$B$6)^2)*'Bottle Results'!P3</f>
        <v>2.8183390483727608</v>
      </c>
      <c r="R3" t="e">
        <f t="shared" si="1"/>
        <v>#DIV/0!</v>
      </c>
      <c r="T3">
        <f t="shared" si="2"/>
        <v>7.7278076201340098E-2</v>
      </c>
    </row>
    <row r="4" spans="1:20" x14ac:dyDescent="0.25">
      <c r="A4" t="s">
        <v>109</v>
      </c>
      <c r="B4">
        <v>100</v>
      </c>
      <c r="C4">
        <v>0.08</v>
      </c>
      <c r="D4" s="1">
        <v>6.99</v>
      </c>
      <c r="E4" s="1"/>
      <c r="F4" s="1">
        <v>0</v>
      </c>
      <c r="G4" s="1">
        <v>0</v>
      </c>
      <c r="H4" s="1">
        <v>100</v>
      </c>
      <c r="I4" s="1">
        <v>5</v>
      </c>
      <c r="J4" s="1">
        <f>'Count-&gt;Actual Activity'!F6</f>
        <v>2.9256385925939949</v>
      </c>
      <c r="K4" s="1">
        <f>'Count-&gt;Actual Activity'!G4</f>
        <v>0.15745067498955981</v>
      </c>
      <c r="L4" s="1">
        <v>5</v>
      </c>
      <c r="M4" s="1">
        <v>0.01</v>
      </c>
      <c r="N4">
        <f t="shared" si="0"/>
        <v>0.58512771851879897</v>
      </c>
      <c r="O4">
        <f t="shared" si="3"/>
        <v>3.1511872365421828E-2</v>
      </c>
      <c r="P4">
        <f>B4*AVERAGE(Parameters!$B$8:$B$9)</f>
        <v>64.143584522243444</v>
      </c>
      <c r="Q4">
        <f>SQRT((C4/B4)^2+(Parameters!$C$6/Parameters!$B$6)^2)*'Bottle Results'!P4</f>
        <v>2.8183390483727608</v>
      </c>
      <c r="R4" t="e">
        <f t="shared" si="1"/>
        <v>#DIV/0!</v>
      </c>
      <c r="T4">
        <f t="shared" si="2"/>
        <v>8.7784502726237834E-2</v>
      </c>
    </row>
    <row r="5" spans="1:20" x14ac:dyDescent="0.25">
      <c r="A5" t="s">
        <v>110</v>
      </c>
      <c r="B5">
        <v>100</v>
      </c>
      <c r="C5">
        <v>0.08</v>
      </c>
      <c r="D5" s="1">
        <v>6.97</v>
      </c>
      <c r="E5" s="1"/>
      <c r="F5" s="1">
        <v>3.0099999999999998E-2</v>
      </c>
      <c r="G5" s="1">
        <v>2E-3</v>
      </c>
      <c r="H5" s="1">
        <v>100</v>
      </c>
      <c r="I5" s="1">
        <v>5</v>
      </c>
      <c r="J5" s="1">
        <f>'Count-&gt;Actual Activity'!F7</f>
        <v>1.5222800855038612</v>
      </c>
      <c r="K5" s="1">
        <f>'Count-&gt;Actual Activity'!G5</f>
        <v>0.15745067498955981</v>
      </c>
      <c r="L5" s="1">
        <v>5</v>
      </c>
      <c r="M5" s="1">
        <v>0.01</v>
      </c>
      <c r="N5">
        <f t="shared" si="0"/>
        <v>0.30445601710077225</v>
      </c>
      <c r="O5">
        <f t="shared" si="3"/>
        <v>3.1496021590863114E-2</v>
      </c>
      <c r="P5">
        <f>B5*AVERAGE(Parameters!$B$8:$B$9)</f>
        <v>64.143584522243444</v>
      </c>
      <c r="Q5">
        <f>SQRT((C5/B5)^2+(Parameters!$C$6/Parameters!$B$6)^2)*'Bottle Results'!P5</f>
        <v>2.8183390483727608</v>
      </c>
      <c r="R5">
        <f t="shared" si="1"/>
        <v>1119.5343126965522</v>
      </c>
      <c r="T5">
        <f t="shared" si="2"/>
        <v>0.525352349157858</v>
      </c>
    </row>
    <row r="6" spans="1:20" x14ac:dyDescent="0.25">
      <c r="A6" t="s">
        <v>111</v>
      </c>
      <c r="B6">
        <v>100</v>
      </c>
      <c r="C6">
        <v>0.08</v>
      </c>
      <c r="D6" s="1">
        <v>6.98</v>
      </c>
      <c r="E6" s="1"/>
      <c r="F6" s="1">
        <v>2.9700000000000001E-2</v>
      </c>
      <c r="G6" s="1">
        <v>2E-3</v>
      </c>
      <c r="H6" s="1">
        <v>100</v>
      </c>
      <c r="I6" s="1">
        <v>5</v>
      </c>
      <c r="J6" s="1">
        <f>'Count-&gt;Actual Activity'!F8</f>
        <v>1.4317386872820888</v>
      </c>
      <c r="K6" s="1">
        <f>'Count-&gt;Actual Activity'!G6</f>
        <v>0.15745067498955981</v>
      </c>
      <c r="L6" s="1">
        <v>5</v>
      </c>
      <c r="M6" s="1">
        <v>0.01</v>
      </c>
      <c r="N6">
        <f t="shared" si="0"/>
        <v>0.28634773745641773</v>
      </c>
      <c r="O6">
        <f t="shared" si="3"/>
        <v>3.1495342231728569E-2</v>
      </c>
      <c r="P6">
        <f>B6*AVERAGE(Parameters!$B$8:$B$9)</f>
        <v>64.143584522243444</v>
      </c>
      <c r="Q6">
        <f>SQRT((C6/B6)^2+(Parameters!$C$6/Parameters!$B$6)^2)*'Bottle Results'!P6</f>
        <v>2.8183390483727608</v>
      </c>
      <c r="R6">
        <f t="shared" si="1"/>
        <v>1195.5828544310327</v>
      </c>
      <c r="T6">
        <f t="shared" si="2"/>
        <v>0.55358319995802652</v>
      </c>
    </row>
    <row r="7" spans="1:20" x14ac:dyDescent="0.25">
      <c r="A7" t="s">
        <v>112</v>
      </c>
      <c r="B7">
        <v>100</v>
      </c>
      <c r="C7">
        <v>0.08</v>
      </c>
      <c r="D7" s="1">
        <v>7</v>
      </c>
      <c r="E7" s="1"/>
      <c r="F7" s="1">
        <v>3.0599999999999999E-2</v>
      </c>
      <c r="G7" s="1">
        <v>2E-3</v>
      </c>
      <c r="H7" s="1">
        <v>100</v>
      </c>
      <c r="I7" s="1">
        <v>5</v>
      </c>
      <c r="J7" s="1">
        <f>'Count-&gt;Actual Activity'!F9</f>
        <v>1.486328848993824</v>
      </c>
      <c r="K7" s="1">
        <f>'Count-&gt;Actual Activity'!G7</f>
        <v>0.15745067498955981</v>
      </c>
      <c r="L7" s="1">
        <v>5</v>
      </c>
      <c r="M7" s="1">
        <v>0.01</v>
      </c>
      <c r="N7">
        <f t="shared" si="0"/>
        <v>0.29726576979876479</v>
      </c>
      <c r="O7">
        <f t="shared" si="3"/>
        <v>3.1495746854746848E-2</v>
      </c>
      <c r="P7">
        <f>B7*AVERAGE(Parameters!$B$8:$B$9)</f>
        <v>64.143584522243444</v>
      </c>
      <c r="Q7">
        <f>SQRT((C7/B7)^2+(Parameters!$C$6/Parameters!$B$6)^2)*'Bottle Results'!P7</f>
        <v>2.8183390483727608</v>
      </c>
      <c r="R7">
        <f t="shared" si="1"/>
        <v>1124.7388085740838</v>
      </c>
      <c r="T7">
        <f t="shared" si="2"/>
        <v>0.53656196171001291</v>
      </c>
    </row>
    <row r="8" spans="1:20" ht="15.75" customHeight="1" x14ac:dyDescent="0.25">
      <c r="A8" t="s">
        <v>113</v>
      </c>
      <c r="B8">
        <v>100</v>
      </c>
      <c r="C8">
        <v>0.08</v>
      </c>
      <c r="D8" s="1">
        <v>6.96</v>
      </c>
      <c r="E8" s="1"/>
      <c r="F8" s="1">
        <v>2.9899999999999999E-2</v>
      </c>
      <c r="G8" s="1">
        <v>2E-3</v>
      </c>
      <c r="H8" s="1">
        <v>100</v>
      </c>
      <c r="I8" s="1">
        <v>5</v>
      </c>
      <c r="J8" s="1">
        <f>'Count-&gt;Actual Activity'!F10</f>
        <v>2.2735415333132321</v>
      </c>
      <c r="K8" s="1">
        <f>'Count-&gt;Actual Activity'!G8</f>
        <v>0.15745067498955981</v>
      </c>
      <c r="L8" s="1">
        <v>5</v>
      </c>
      <c r="M8" s="1">
        <v>0.01</v>
      </c>
      <c r="N8">
        <f t="shared" si="0"/>
        <v>0.45470830666264639</v>
      </c>
      <c r="O8">
        <f t="shared" si="3"/>
        <v>3.150326396999701E-2</v>
      </c>
      <c r="P8">
        <f>B8*AVERAGE(Parameters!$B$8:$B$9)</f>
        <v>64.143584522243444</v>
      </c>
      <c r="Q8">
        <f>SQRT((C8/B8)^2+(Parameters!$C$6/Parameters!$B$6)^2)*'Bottle Results'!P8</f>
        <v>2.8183390483727608</v>
      </c>
      <c r="R8">
        <f t="shared" si="1"/>
        <v>624.50681792571254</v>
      </c>
      <c r="T8">
        <f t="shared" si="2"/>
        <v>0.29110867431338427</v>
      </c>
    </row>
    <row r="9" spans="1:20" x14ac:dyDescent="0.25">
      <c r="A9" t="s">
        <v>114</v>
      </c>
      <c r="B9">
        <v>100</v>
      </c>
      <c r="C9">
        <v>0.08</v>
      </c>
      <c r="D9" s="1">
        <v>7</v>
      </c>
      <c r="E9" s="1"/>
      <c r="F9" s="1">
        <v>2.9700000000000001E-2</v>
      </c>
      <c r="G9" s="1">
        <v>2E-3</v>
      </c>
      <c r="H9" s="1">
        <v>100</v>
      </c>
      <c r="I9" s="1">
        <v>5</v>
      </c>
      <c r="J9" s="1">
        <f>'Count-&gt;Actual Activity'!F11</f>
        <v>2.2148388685320834</v>
      </c>
      <c r="K9" s="1">
        <f>'Count-&gt;Actual Activity'!G9</f>
        <v>0.15745067498955981</v>
      </c>
      <c r="L9" s="1">
        <v>5</v>
      </c>
      <c r="M9" s="1">
        <v>0.01</v>
      </c>
      <c r="N9">
        <f t="shared" si="0"/>
        <v>0.44296777370641671</v>
      </c>
      <c r="O9">
        <f t="shared" si="3"/>
        <v>3.1502594876944498E-2</v>
      </c>
      <c r="P9">
        <f>B9*AVERAGE(Parameters!$B$8:$B$9)</f>
        <v>64.143584522243444</v>
      </c>
      <c r="Q9">
        <f>SQRT((C9/B9)^2+(Parameters!$C$6/Parameters!$B$6)^2)*'Bottle Results'!P9</f>
        <v>2.8183390483727608</v>
      </c>
      <c r="R9">
        <f t="shared" si="1"/>
        <v>668.24266503709669</v>
      </c>
      <c r="T9">
        <f t="shared" si="2"/>
        <v>0.30941219296404271</v>
      </c>
    </row>
    <row r="10" spans="1:20" x14ac:dyDescent="0.25">
      <c r="A10" t="s">
        <v>115</v>
      </c>
      <c r="B10">
        <v>100</v>
      </c>
      <c r="C10">
        <v>0.08</v>
      </c>
      <c r="D10" s="1">
        <v>6.98</v>
      </c>
      <c r="E10" s="1"/>
      <c r="F10" s="1">
        <v>2.9499999999999998E-2</v>
      </c>
      <c r="G10" s="1">
        <v>2E-3</v>
      </c>
      <c r="H10" s="1">
        <v>100</v>
      </c>
      <c r="I10" s="1">
        <v>5</v>
      </c>
      <c r="J10" s="1">
        <f>'Count-&gt;Actual Activity'!F12</f>
        <v>2.2832258147347546</v>
      </c>
      <c r="K10" s="1">
        <f>'Count-&gt;Actual Activity'!G10</f>
        <v>0.15745067498955981</v>
      </c>
      <c r="L10" s="1">
        <v>5</v>
      </c>
      <c r="M10" s="1">
        <v>0.01</v>
      </c>
      <c r="N10">
        <f t="shared" si="0"/>
        <v>0.4566451629469509</v>
      </c>
      <c r="O10">
        <f t="shared" si="3"/>
        <v>3.1503376031880949E-2</v>
      </c>
      <c r="P10">
        <f>B10*AVERAGE(Parameters!$B$8:$B$9)</f>
        <v>64.143584522243444</v>
      </c>
      <c r="Q10">
        <f>SQRT((C10/B10)^2+(Parameters!$C$6/Parameters!$B$6)^2)*'Bottle Results'!P10</f>
        <v>2.8183390483727608</v>
      </c>
      <c r="R10">
        <f t="shared" si="1"/>
        <v>626.40909245926628</v>
      </c>
      <c r="T10">
        <f t="shared" si="2"/>
        <v>0.28808911078457516</v>
      </c>
    </row>
    <row r="11" spans="1:20" x14ac:dyDescent="0.25">
      <c r="A11" t="s">
        <v>116</v>
      </c>
      <c r="B11">
        <v>100</v>
      </c>
      <c r="C11">
        <v>0.08</v>
      </c>
      <c r="D11" s="1">
        <v>7.05</v>
      </c>
      <c r="E11" s="1">
        <v>1.79</v>
      </c>
      <c r="F11" s="1">
        <f>E11*Parameters!$B$10/1000</f>
        <v>3.0240129223744291E-2</v>
      </c>
      <c r="G11" s="1">
        <f>SQRT((Parameters!$C$10/Parameters!$B$10)^2+(0.01/'Bottle Results'!E11)^2)*'Bottle Results'!F11</f>
        <v>2.984277424894162E-3</v>
      </c>
      <c r="H11" s="1">
        <v>100</v>
      </c>
      <c r="I11" s="1">
        <v>5</v>
      </c>
      <c r="J11" s="1">
        <f>'Count-&gt;Actual Activity'!F13</f>
        <v>1.5009216018207763</v>
      </c>
      <c r="K11" s="1">
        <f>'Count-&gt;Actual Activity'!G11</f>
        <v>0.15745067498955981</v>
      </c>
      <c r="L11" s="1">
        <v>5</v>
      </c>
      <c r="M11" s="1">
        <v>0.01</v>
      </c>
      <c r="N11">
        <f t="shared" si="0"/>
        <v>0.30018432036415527</v>
      </c>
      <c r="O11">
        <f t="shared" si="3"/>
        <v>3.1495857579870563E-2</v>
      </c>
      <c r="P11">
        <f>B11*AVERAGE(Parameters!$B$8:$B$9)</f>
        <v>64.143584522243444</v>
      </c>
      <c r="Q11">
        <f>SQRT((C11/B11)^2+(Parameters!$C$6/Parameters!$B$6)^2)*'Bottle Results'!P11</f>
        <v>2.8183390483727608</v>
      </c>
      <c r="R11">
        <f t="shared" si="1"/>
        <v>1128.4724424733324</v>
      </c>
      <c r="T11">
        <f t="shared" si="2"/>
        <v>0.53201193447482098</v>
      </c>
    </row>
    <row r="12" spans="1:20" x14ac:dyDescent="0.25">
      <c r="A12" t="s">
        <v>117</v>
      </c>
      <c r="B12">
        <v>100</v>
      </c>
      <c r="C12">
        <v>0.08</v>
      </c>
      <c r="D12" s="1">
        <v>7</v>
      </c>
      <c r="E12" s="1">
        <v>1.79</v>
      </c>
      <c r="F12" s="1">
        <f>E12*Parameters!$B$10/1000</f>
        <v>3.0240129223744291E-2</v>
      </c>
      <c r="G12" s="1">
        <f>SQRT((Parameters!$C$10/Parameters!$B$10)^2+(0.01/'Bottle Results'!E12)^2)*'Bottle Results'!F12</f>
        <v>2.984277424894162E-3</v>
      </c>
      <c r="H12" s="1">
        <v>100</v>
      </c>
      <c r="I12" s="1">
        <v>5</v>
      </c>
      <c r="J12" s="1">
        <f>'Count-&gt;Actual Activity'!F14</f>
        <v>1.7202108783930676</v>
      </c>
      <c r="K12" s="1">
        <f>'Count-&gt;Actual Activity'!G12</f>
        <v>0.15745067498955981</v>
      </c>
      <c r="L12" s="1">
        <v>5</v>
      </c>
      <c r="M12" s="1">
        <v>0.01</v>
      </c>
      <c r="N12">
        <f t="shared" si="0"/>
        <v>0.3440421756786135</v>
      </c>
      <c r="O12">
        <f t="shared" si="3"/>
        <v>3.1497651694393065E-2</v>
      </c>
      <c r="P12">
        <f>B12*AVERAGE(Parameters!$B$8:$B$9)</f>
        <v>64.143584522243444</v>
      </c>
      <c r="Q12">
        <f>SQRT((C12/B12)^2+(Parameters!$C$6/Parameters!$B$6)^2)*'Bottle Results'!P12</f>
        <v>2.8183390483727608</v>
      </c>
      <c r="R12">
        <f t="shared" si="1"/>
        <v>983.44047190879712</v>
      </c>
      <c r="T12">
        <f t="shared" si="2"/>
        <v>0.46363743429507276</v>
      </c>
    </row>
    <row r="13" spans="1:20" x14ac:dyDescent="0.25">
      <c r="A13" t="s">
        <v>118</v>
      </c>
      <c r="B13">
        <v>100</v>
      </c>
      <c r="C13">
        <v>0.08</v>
      </c>
      <c r="D13" s="1">
        <v>7</v>
      </c>
      <c r="E13" s="1">
        <v>1.79</v>
      </c>
      <c r="F13" s="1">
        <f>E13*Parameters!$B$10/1000</f>
        <v>3.0240129223744291E-2</v>
      </c>
      <c r="G13" s="1">
        <f>SQRT((Parameters!$C$10/Parameters!$B$10)^2+(0.01/'Bottle Results'!E13)^2)*'Bottle Results'!F13</f>
        <v>2.984277424894162E-3</v>
      </c>
      <c r="H13" s="1">
        <v>100</v>
      </c>
      <c r="I13" s="1">
        <v>5</v>
      </c>
      <c r="J13" s="1">
        <f>'Count-&gt;Actual Activity'!F15</f>
        <v>1.6769632654695557</v>
      </c>
      <c r="K13" s="1">
        <f>'Count-&gt;Actual Activity'!G13</f>
        <v>0.15745067498955981</v>
      </c>
      <c r="L13" s="1">
        <v>5</v>
      </c>
      <c r="M13" s="1">
        <v>0.01</v>
      </c>
      <c r="N13">
        <f t="shared" si="0"/>
        <v>0.33539265309391114</v>
      </c>
      <c r="O13">
        <f t="shared" si="3"/>
        <v>3.149727853503724E-2</v>
      </c>
      <c r="P13">
        <f>B13*AVERAGE(Parameters!$B$8:$B$9)</f>
        <v>64.143584522243444</v>
      </c>
      <c r="Q13">
        <f>SQRT((C13/B13)^2+(Parameters!$C$6/Parameters!$B$6)^2)*'Bottle Results'!P13</f>
        <v>2.8183390483727608</v>
      </c>
      <c r="R13">
        <f t="shared" si="1"/>
        <v>1012.0432682814755</v>
      </c>
      <c r="T13">
        <f t="shared" si="2"/>
        <v>0.47712206046482314</v>
      </c>
    </row>
  </sheetData>
  <conditionalFormatting sqref="J2:J1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C1" workbookViewId="0">
      <selection activeCell="B3" sqref="B3:M5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2.140625" bestFit="1" customWidth="1"/>
    <col min="4" max="11" width="12" bestFit="1" customWidth="1"/>
    <col min="12" max="12" width="12.5703125" bestFit="1" customWidth="1"/>
    <col min="13" max="13" width="7.42578125" bestFit="1" customWidth="1"/>
    <col min="14" max="14" width="6.28515625" bestFit="1" customWidth="1"/>
  </cols>
  <sheetData>
    <row r="1" spans="1:14" x14ac:dyDescent="0.25">
      <c r="A1" t="s">
        <v>15</v>
      </c>
      <c r="B1" t="s">
        <v>29</v>
      </c>
      <c r="C1" t="s">
        <v>84</v>
      </c>
      <c r="D1" t="s">
        <v>31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102</v>
      </c>
      <c r="L1" t="s">
        <v>103</v>
      </c>
      <c r="M1" t="s">
        <v>104</v>
      </c>
      <c r="N1" t="s">
        <v>7</v>
      </c>
    </row>
    <row r="2" spans="1:14" x14ac:dyDescent="0.25">
      <c r="A2" t="s">
        <v>125</v>
      </c>
      <c r="B2">
        <f>AVERAGE('Bottle Results'!N2:N4)</f>
        <v>0.58522500353764528</v>
      </c>
      <c r="C2">
        <f>_xlfn.STDEV.S('Bottle Results'!N2:N4)</f>
        <v>6.5938093254111797E-3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64.143584522243444</v>
      </c>
      <c r="G2">
        <f>AVERAGE('Bottle Results'!T2:T4)</f>
        <v>8.7632835151731384E-2</v>
      </c>
      <c r="H2">
        <f>_xlfn.STDEV.S('Bottle Results'!T2:T4)</f>
        <v>1.0279764335784191E-2</v>
      </c>
      <c r="I2">
        <f>AVERAGE('Bottle Results'!D2:D4)</f>
        <v>7.0166666666666657</v>
      </c>
      <c r="J2">
        <f>_xlfn.STDEV.S('Bottle Results'!D2:D4)</f>
        <v>2.5166114784235707E-2</v>
      </c>
      <c r="K2">
        <f>AVERAGE('Bottle Results'!F2:F4)</f>
        <v>0</v>
      </c>
      <c r="L2">
        <f>_xlfn.STDEV.S('Bottle Results'!F2:F4)</f>
        <v>0</v>
      </c>
      <c r="M2">
        <f>COUNT('Bottle Results'!J2:J4)</f>
        <v>3</v>
      </c>
    </row>
    <row r="3" spans="1:14" x14ac:dyDescent="0.25">
      <c r="A3" t="s">
        <v>126</v>
      </c>
      <c r="B3">
        <f>AVERAGE('Bottle Results'!N5:N7)</f>
        <v>0.29602317478531831</v>
      </c>
      <c r="C3">
        <f>_xlfn.STDEV.S('Bottle Results'!N5:N7)</f>
        <v>9.1178659616775286E-3</v>
      </c>
      <c r="D3">
        <f>AVERAGE('Bottle Results'!R5:R7)</f>
        <v>1146.6186585672231</v>
      </c>
      <c r="E3">
        <f>_xlfn.STDEV.S('Bottle Results'!R5:R7)</f>
        <v>42.48400936560671</v>
      </c>
      <c r="F3">
        <f>AVERAGE('Bottle Results'!P5:P7)</f>
        <v>64.143584522243444</v>
      </c>
      <c r="G3">
        <f>AVERAGE('Bottle Results'!T5:T7)</f>
        <v>0.53849917027529914</v>
      </c>
      <c r="H3">
        <f>_xlfn.STDEV.S('Bottle Results'!T5:T7)</f>
        <v>1.4214774602307544E-2</v>
      </c>
      <c r="I3">
        <f>AVERAGE('Bottle Results'!D5:D7)</f>
        <v>6.9833333333333334</v>
      </c>
      <c r="J3">
        <f>_xlfn.STDEV.S('Bottle Results'!D5:D7)</f>
        <v>1.5275252316519529E-2</v>
      </c>
      <c r="K3">
        <f>AVERAGE('Bottle Results'!F5:F7)</f>
        <v>3.0133333333333331E-2</v>
      </c>
      <c r="L3">
        <f>_xlfn.STDEV.S('Bottle Results'!F5:F7)</f>
        <v>4.5092497528228848E-4</v>
      </c>
      <c r="M3">
        <f>COUNT('Bottle Results'!J5:J7)</f>
        <v>3</v>
      </c>
    </row>
    <row r="4" spans="1:14" x14ac:dyDescent="0.25">
      <c r="A4" t="s">
        <v>127</v>
      </c>
      <c r="B4">
        <f>AVERAGE('Bottle Results'!N8:N10)</f>
        <v>0.45144041443867139</v>
      </c>
      <c r="C4">
        <f>_xlfn.STDEV.S('Bottle Results'!N8:N10)</f>
        <v>7.4011542207893201E-3</v>
      </c>
      <c r="D4">
        <f>AVERAGE('Bottle Results'!R8:R10)</f>
        <v>639.71952514069187</v>
      </c>
      <c r="E4">
        <f>_xlfn.STDEV.S('Bottle Results'!R8:R10)</f>
        <v>24.720068654084749</v>
      </c>
      <c r="F4">
        <f>AVERAGE('Bottle Results'!P8:P10)</f>
        <v>64.143584522243444</v>
      </c>
      <c r="G4">
        <f>AVERAGE('Bottle Results'!T8:T10)</f>
        <v>0.29620332602066735</v>
      </c>
      <c r="H4">
        <f>_xlfn.STDEV.S('Bottle Results'!T8:T10)</f>
        <v>1.1538416937430091E-2</v>
      </c>
      <c r="I4">
        <f>AVERAGE('Bottle Results'!D8:D10)</f>
        <v>6.98</v>
      </c>
      <c r="J4">
        <f>_xlfn.STDEV.S('Bottle Results'!D8:D10)</f>
        <v>2.0000000000000018E-2</v>
      </c>
      <c r="K4">
        <f>AVERAGE('Bottle Results'!F8:F10)</f>
        <v>2.9700000000000001E-2</v>
      </c>
      <c r="L4">
        <f>_xlfn.STDEV.S('Bottle Results'!F8:F10)</f>
        <v>2.0000000000000052E-4</v>
      </c>
      <c r="M4">
        <f>COUNT('Bottle Results'!J8:J10)</f>
        <v>3</v>
      </c>
    </row>
    <row r="5" spans="1:14" x14ac:dyDescent="0.25">
      <c r="A5" t="s">
        <v>128</v>
      </c>
      <c r="B5">
        <f>AVERAGE('Bottle Results'!N11:N13)</f>
        <v>0.32653971637889329</v>
      </c>
      <c r="C5">
        <f>_xlfn.STDEV.S('Bottle Results'!N11:N13)</f>
        <v>2.3230556053527245E-2</v>
      </c>
      <c r="D5">
        <f>AVERAGE('Bottle Results'!R11:R13)</f>
        <v>1041.3187275545351</v>
      </c>
      <c r="E5">
        <f>_xlfn.STDEV.S('Bottle Results'!R11:R13)</f>
        <v>76.820293596122639</v>
      </c>
      <c r="F5">
        <f>AVERAGE('Bottle Results'!P11:P13)</f>
        <v>64.143584522243444</v>
      </c>
      <c r="G5">
        <f>AVERAGE('Bottle Results'!T11:T13)</f>
        <v>0.49092380974490563</v>
      </c>
      <c r="H5">
        <f>_xlfn.STDEV.S('Bottle Results'!T11:T13)</f>
        <v>3.6216491838667791E-2</v>
      </c>
      <c r="I5">
        <f>AVERAGE('Bottle Results'!D11:D13)</f>
        <v>7.0166666666666666</v>
      </c>
      <c r="J5">
        <f>_xlfn.STDEV.S('Bottle Results'!D11:D13)</f>
        <v>2.8867513459481187E-2</v>
      </c>
      <c r="K5">
        <f>AVERAGE('Bottle Results'!F11:F13)</f>
        <v>3.0240129223744291E-2</v>
      </c>
      <c r="L5">
        <f>_xlfn.STDEV.S('Bottle Results'!F11:F13)</f>
        <v>0</v>
      </c>
      <c r="M5">
        <f>COUNT('Bottle Results'!J11:J13)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2017-07-29T20:08:58Z</dcterms:modified>
</cp:coreProperties>
</file>