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3\"/>
    </mc:Choice>
  </mc:AlternateContent>
  <bookViews>
    <workbookView xWindow="0" yWindow="0" windowWidth="7470" windowHeight="12285" firstSheet="3" activeTab="5"/>
  </bookViews>
  <sheets>
    <sheet name="Parameters" sheetId="1" r:id="rId1"/>
    <sheet name="Scintillation Counter Results" sheetId="3" r:id="rId2"/>
    <sheet name="Calibration Data" sheetId="9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definedNames>
    <definedName name="_xlnm._FilterDatabase" localSheetId="1" hidden="1">'Scintillation Counter Results'!$A$1:$F$37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8" l="1"/>
  <c r="K7" i="8"/>
  <c r="L6" i="8"/>
  <c r="K6" i="8"/>
  <c r="L5" i="8"/>
  <c r="K5" i="8"/>
  <c r="L4" i="8"/>
  <c r="K4" i="8"/>
  <c r="L3" i="8"/>
  <c r="L2" i="8"/>
  <c r="K3" i="8"/>
  <c r="K2" i="8"/>
  <c r="M3" i="8" l="1"/>
  <c r="M7" i="8" l="1"/>
  <c r="M6" i="8"/>
  <c r="M5" i="8"/>
  <c r="M4" i="8"/>
  <c r="M2" i="8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G2" i="2"/>
  <c r="F2" i="2"/>
  <c r="D10" i="9"/>
  <c r="C10" i="9"/>
  <c r="E10" i="9" s="1"/>
  <c r="H9" i="9"/>
  <c r="F9" i="9"/>
  <c r="G9" i="9" s="1"/>
  <c r="D9" i="9"/>
  <c r="J9" i="9" s="1"/>
  <c r="C9" i="9"/>
  <c r="E9" i="9" s="1"/>
  <c r="J8" i="9"/>
  <c r="H8" i="9"/>
  <c r="E8" i="9"/>
  <c r="D8" i="9"/>
  <c r="H7" i="9"/>
  <c r="F7" i="9"/>
  <c r="G5" i="9" s="1"/>
  <c r="E7" i="9"/>
  <c r="D7" i="9"/>
  <c r="J7" i="9" s="1"/>
  <c r="H6" i="9"/>
  <c r="E6" i="9"/>
  <c r="D6" i="9"/>
  <c r="J6" i="9" s="1"/>
  <c r="E5" i="9"/>
  <c r="D5" i="9"/>
  <c r="J5" i="9" s="1"/>
  <c r="E4" i="9"/>
  <c r="D4" i="9"/>
  <c r="J4" i="9" s="1"/>
  <c r="E3" i="9"/>
  <c r="D3" i="9"/>
  <c r="J3" i="9" s="1"/>
  <c r="J2" i="9"/>
  <c r="K2" i="9" s="1"/>
  <c r="G2" i="9"/>
  <c r="E2" i="9"/>
  <c r="D2" i="9"/>
  <c r="H2" i="9" s="1"/>
  <c r="I2" i="9" s="1"/>
  <c r="K5" i="9" l="1"/>
  <c r="K9" i="9"/>
  <c r="I9" i="9"/>
  <c r="G4" i="9"/>
  <c r="K4" i="9" s="1"/>
  <c r="H5" i="9"/>
  <c r="I5" i="9" s="1"/>
  <c r="G3" i="9"/>
  <c r="K3" i="9" s="1"/>
  <c r="H4" i="9"/>
  <c r="H3" i="9"/>
  <c r="G8" i="9"/>
  <c r="I8" i="9" s="1"/>
  <c r="G6" i="9"/>
  <c r="I6" i="9" s="1"/>
  <c r="G7" i="9"/>
  <c r="K7" i="9" s="1"/>
  <c r="I7" i="9" l="1"/>
  <c r="K8" i="9"/>
  <c r="K6" i="9"/>
  <c r="K11" i="9" s="1"/>
  <c r="I3" i="9"/>
  <c r="I4" i="9"/>
  <c r="J7" i="8"/>
  <c r="J6" i="8"/>
  <c r="J5" i="8"/>
  <c r="J4" i="8"/>
  <c r="J3" i="8"/>
  <c r="I7" i="8"/>
  <c r="I6" i="8"/>
  <c r="I5" i="8"/>
  <c r="I4" i="8"/>
  <c r="I3" i="8"/>
  <c r="J2" i="8"/>
  <c r="I2" i="8"/>
  <c r="I11" i="9" l="1"/>
  <c r="O3" i="5"/>
  <c r="P3" i="5" s="1"/>
  <c r="O4" i="5"/>
  <c r="P4" i="5" s="1"/>
  <c r="O5" i="5"/>
  <c r="P5" i="5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P16" i="5" s="1"/>
  <c r="O17" i="5"/>
  <c r="P17" i="5" s="1"/>
  <c r="O18" i="5"/>
  <c r="P18" i="5" s="1"/>
  <c r="O19" i="5"/>
  <c r="P19" i="5" s="1"/>
  <c r="O2" i="5"/>
  <c r="P2" i="5" s="1"/>
  <c r="I10" i="5"/>
  <c r="M10" i="5" s="1"/>
  <c r="J11" i="5"/>
  <c r="J12" i="5"/>
  <c r="J17" i="5"/>
  <c r="Q10" i="5" l="1"/>
  <c r="S10" i="5"/>
  <c r="F4" i="8"/>
  <c r="F6" i="8"/>
  <c r="F3" i="8"/>
  <c r="F2" i="8"/>
  <c r="F5" i="8"/>
  <c r="F7" i="8"/>
  <c r="J18" i="5"/>
  <c r="I18" i="5"/>
  <c r="M18" i="5" s="1"/>
  <c r="Q18" i="5" s="1"/>
  <c r="J10" i="5"/>
  <c r="N10" i="5" s="1"/>
  <c r="J19" i="5"/>
  <c r="I19" i="5"/>
  <c r="M19" i="5" s="1"/>
  <c r="Q19" i="5" s="1"/>
  <c r="J3" i="5"/>
  <c r="I3" i="5"/>
  <c r="M3" i="5" s="1"/>
  <c r="Q3" i="5" s="1"/>
  <c r="J9" i="5"/>
  <c r="I9" i="5"/>
  <c r="M9" i="5" s="1"/>
  <c r="Q9" i="5" s="1"/>
  <c r="I16" i="5"/>
  <c r="M16" i="5" s="1"/>
  <c r="J16" i="5"/>
  <c r="I8" i="5"/>
  <c r="M8" i="5" s="1"/>
  <c r="Q8" i="5" s="1"/>
  <c r="J8" i="5"/>
  <c r="J15" i="5"/>
  <c r="I15" i="5"/>
  <c r="M15" i="5" s="1"/>
  <c r="Q15" i="5" s="1"/>
  <c r="J7" i="5"/>
  <c r="I7" i="5"/>
  <c r="M7" i="5" s="1"/>
  <c r="I14" i="5"/>
  <c r="M14" i="5" s="1"/>
  <c r="Q14" i="5" s="1"/>
  <c r="J14" i="5"/>
  <c r="J6" i="5"/>
  <c r="I6" i="5"/>
  <c r="M6" i="5" s="1"/>
  <c r="Q6" i="5" s="1"/>
  <c r="J13" i="5"/>
  <c r="I13" i="5"/>
  <c r="M13" i="5" s="1"/>
  <c r="J5" i="5"/>
  <c r="I5" i="5"/>
  <c r="M5" i="5" s="1"/>
  <c r="I4" i="5"/>
  <c r="M4" i="5" s="1"/>
  <c r="Q4" i="5" s="1"/>
  <c r="J4" i="5"/>
  <c r="I17" i="5"/>
  <c r="M17" i="5" s="1"/>
  <c r="Q17" i="5" s="1"/>
  <c r="I12" i="5"/>
  <c r="M12" i="5" s="1"/>
  <c r="Q12" i="5" s="1"/>
  <c r="I11" i="5"/>
  <c r="M11" i="5" s="1"/>
  <c r="J2" i="5"/>
  <c r="N4" i="5" l="1"/>
  <c r="N14" i="5"/>
  <c r="N8" i="5"/>
  <c r="N16" i="5"/>
  <c r="S5" i="5"/>
  <c r="Q5" i="5"/>
  <c r="S13" i="5"/>
  <c r="Q13" i="5"/>
  <c r="S11" i="5"/>
  <c r="Q11" i="5"/>
  <c r="S16" i="5"/>
  <c r="Q16" i="5"/>
  <c r="S7" i="5"/>
  <c r="Q7" i="5"/>
  <c r="N18" i="5"/>
  <c r="N17" i="5"/>
  <c r="N13" i="5"/>
  <c r="N12" i="5"/>
  <c r="N15" i="5"/>
  <c r="N6" i="5"/>
  <c r="N19" i="5"/>
  <c r="N5" i="5"/>
  <c r="N7" i="5"/>
  <c r="N9" i="5"/>
  <c r="N11" i="5"/>
  <c r="N3" i="5"/>
  <c r="S4" i="5"/>
  <c r="S15" i="5"/>
  <c r="B7" i="8"/>
  <c r="C7" i="8"/>
  <c r="B4" i="8"/>
  <c r="C4" i="8"/>
  <c r="S12" i="5"/>
  <c r="G5" i="8" s="1"/>
  <c r="S3" i="5"/>
  <c r="S6" i="5"/>
  <c r="B6" i="8"/>
  <c r="C6" i="8"/>
  <c r="S8" i="5"/>
  <c r="C3" i="8"/>
  <c r="B3" i="8"/>
  <c r="S9" i="5"/>
  <c r="S19" i="5"/>
  <c r="S18" i="5"/>
  <c r="S17" i="5"/>
  <c r="S14" i="5"/>
  <c r="C5" i="8"/>
  <c r="B5" i="8"/>
  <c r="I2" i="5"/>
  <c r="M2" i="5" s="1"/>
  <c r="H3" i="8" l="1"/>
  <c r="G3" i="8"/>
  <c r="N2" i="5"/>
  <c r="Q2" i="5"/>
  <c r="H5" i="8"/>
  <c r="D3" i="8"/>
  <c r="G6" i="8"/>
  <c r="H6" i="8"/>
  <c r="G4" i="8"/>
  <c r="H4" i="8"/>
  <c r="G7" i="8"/>
  <c r="H7" i="8"/>
  <c r="E3" i="8"/>
  <c r="E7" i="8"/>
  <c r="D7" i="8"/>
  <c r="C2" i="8"/>
  <c r="B2" i="8"/>
  <c r="S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<sst xmlns="http://schemas.openxmlformats.org/spreadsheetml/2006/main" count="256" uniqueCount="129">
  <si>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</si>
  <si>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</si>
  <si>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</si>
  <si>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</si>
  <si>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</si>
  <si>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</si>
  <si>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</si>
  <si>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</si>
  <si>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</si>
  <si>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</si>
  <si>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</si>
  <si>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</si>
  <si>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</si>
  <si>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</si>
  <si>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</si>
  <si>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</si>
  <si>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</si>
  <si>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</si>
  <si>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</si>
  <si>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</si>
  <si>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</si>
  <si>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</si>
  <si>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</si>
  <si>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</si>
  <si>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</si>
  <si>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</si>
  <si>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</si>
  <si>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</si>
  <si>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</si>
  <si>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</si>
  <si>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</si>
  <si>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</si>
  <si>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</si>
  <si>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</si>
  <si>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</si>
  <si>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</si>
  <si>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</si>
  <si>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</si>
  <si>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</si>
  <si>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</si>
  <si>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</si>
  <si>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</si>
  <si>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</si>
  <si>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</si>
  <si>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</si>
  <si>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</si>
  <si>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</si>
  <si>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</si>
  <si>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</si>
  <si>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</si>
  <si>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</si>
  <si>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</si>
  <si>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</si>
  <si>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</si>
  <si>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</si>
  <si>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</si>
  <si>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</si>
  <si>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</si>
  <si>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</si>
  <si>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</si>
  <si>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</si>
  <si>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</si>
  <si>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</si>
  <si>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</si>
  <si>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</si>
  <si>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</si>
  <si>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</si>
  <si>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</si>
  <si>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</si>
  <si>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</si>
  <si>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</si>
  <si>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</si>
  <si>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</si>
  <si>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</si>
  <si>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</si>
  <si>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</si>
  <si>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</si>
  <si>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</si>
  <si>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</si>
  <si>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</si>
  <si>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</si>
  <si>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</si>
  <si>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Calibration Method</t>
  </si>
  <si>
    <t>Activity (Bq)</t>
  </si>
  <si>
    <t>Activity Error (Bq)</t>
  </si>
  <si>
    <t>Phase</t>
  </si>
  <si>
    <t>Water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</si>
  <si>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</si>
  <si>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</si>
  <si>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</si>
  <si>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</si>
  <si>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</si>
  <si>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</si>
  <si>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</si>
  <si>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</si>
  <si>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</si>
  <si>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</si>
  <si>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</si>
  <si>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</si>
  <si>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</si>
  <si>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</si>
  <si>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</si>
  <si>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</si>
  <si>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</si>
  <si>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</si>
  <si>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</si>
  <si>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</si>
  <si>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</si>
  <si>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</si>
  <si>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</si>
  <si>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</si>
  <si>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</si>
  <si>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</si>
  <si>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Comments</t>
  </si>
  <si>
    <t>RaStock5</t>
  </si>
  <si>
    <t>RaStock4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</si>
  <si>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</si>
  <si>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</si>
  <si>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</si>
  <si>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</si>
  <si>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</si>
  <si>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Average Rel Error</t>
  </si>
  <si>
    <t>Scintillation Counter Calibration</t>
  </si>
  <si>
    <t>CPS-&gt;Bq w/Background (RaStd only)</t>
  </si>
  <si>
    <t>cps-&gt;Bq (background, Stds, and RaStock 5)</t>
  </si>
  <si>
    <t>Count</t>
  </si>
  <si>
    <t>Counts below detection</t>
  </si>
  <si>
    <t>MinMass (g)</t>
  </si>
  <si>
    <t>sMinMass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</si>
</sst>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4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Font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Data'!$B$38:$B$44</c:f>
              <c:numCache>
                <c:formatCode>General</c:formatCode>
                <c:ptCount val="7"/>
                <c:pt idx="0">
                  <c:v>0.1441714628506657</c:v>
                </c:pt>
                <c:pt idx="1">
                  <c:v>0.52694379154793525</c:v>
                </c:pt>
                <c:pt idx="2">
                  <c:v>2.2192609148432805</c:v>
                </c:pt>
                <c:pt idx="3">
                  <c:v>4.3002759088928997</c:v>
                </c:pt>
                <c:pt idx="4">
                  <c:v>21.183118079488228</c:v>
                </c:pt>
                <c:pt idx="5">
                  <c:v>42.563623553202696</c:v>
                </c:pt>
                <c:pt idx="6">
                  <c:v>213.90420976854736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77280"/>
        <c:axId val="216071400"/>
      </c:scatterChart>
      <c:valAx>
        <c:axId val="21607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71400"/>
        <c:crosses val="autoZero"/>
        <c:crossBetween val="midCat"/>
      </c:valAx>
      <c:valAx>
        <c:axId val="216071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77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519469016990174E-2"/>
          <c:y val="0.28624189833413682"/>
          <c:w val="0.83812820928248166"/>
          <c:h val="0.5354925277197493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  <c:pt idx="7">
                  <c:v>921.74647887323954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Data'!$B$72:$B$79</c:f>
              <c:numCache>
                <c:formatCode>General</c:formatCode>
                <c:ptCount val="8"/>
                <c:pt idx="0">
                  <c:v>-0.86244335302746633</c:v>
                </c:pt>
                <c:pt idx="1">
                  <c:v>-0.46848823374427229</c:v>
                </c:pt>
                <c:pt idx="2">
                  <c:v>1.273270363178999</c:v>
                </c:pt>
                <c:pt idx="3">
                  <c:v>3.4150827376553288</c:v>
                </c:pt>
                <c:pt idx="4">
                  <c:v>20.791161420752843</c:v>
                </c:pt>
                <c:pt idx="5">
                  <c:v>42.796303780178178</c:v>
                </c:pt>
                <c:pt idx="6">
                  <c:v>219.142648643325</c:v>
                </c:pt>
                <c:pt idx="7">
                  <c:v>920.50054699429393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77672"/>
        <c:axId val="216078456"/>
      </c:scatterChart>
      <c:valAx>
        <c:axId val="216077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78456"/>
        <c:crosses val="autoZero"/>
        <c:crossBetween val="midCat"/>
      </c:valAx>
      <c:valAx>
        <c:axId val="216078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77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314326</xdr:colOff>
      <xdr:row>14</xdr:row>
      <xdr:rowOff>19049</xdr:rowOff>
    </xdr:from>
    <xdr:to>
      <xdr:col>13</xdr:col>
      <xdr:colOff>1214438</xdr:colOff>
      <xdr:row>40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1457326</xdr:colOff>
      <xdr:row>48</xdr:row>
      <xdr:rowOff>104774</xdr:rowOff>
    </xdr:from>
    <xdr:to>
      <xdr:col>15</xdr:col>
      <xdr:colOff>119062</xdr:colOff>
      <xdr:row>77</xdr:row>
      <xdr:rowOff>119061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Calibration Data Legacy"/>
      <sheetName val="Gamma Counter Multinuclide Stan"/>
      <sheetName val="Quality Control Notes"/>
      <sheetName val="Gamma Counter Geometry"/>
      <sheetName val="Scint Cocktail Testing"/>
      <sheetName val="Calibration Data"/>
      <sheetName val="Stock Log"/>
      <sheetName val="Stock 6 Calc"/>
    </sheetNames>
    <sheetDataSet>
      <sheetData sheetId="0"/>
      <sheetData sheetId="1"/>
      <sheetData sheetId="2"/>
      <sheetData sheetId="3"/>
      <sheetData sheetId="4"/>
      <sheetData sheetId="5">
        <row r="6">
          <cell r="G6">
            <v>42.769009531437398</v>
          </cell>
        </row>
      </sheetData>
      <sheetData sheetId="6"/>
      <sheetData sheetId="7"/>
      <sheetData sheetId="8">
        <row r="6">
          <cell r="F6">
            <v>921.74647887323954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C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6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105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471.73605764182452</v>
      </c>
      <c r="C6">
        <v>2.3454898264593513</v>
      </c>
      <c r="D6" t="s">
        <v>20</v>
      </c>
      <c r="E6" t="s">
        <v>13</v>
      </c>
    </row>
    <row r="7" spans="1:5" x14ac:dyDescent="0.25">
      <c r="A7" t="s">
        <v>25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14" sqref="C14:C17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5">
        <v>42459.724305555559</v>
      </c>
      <c r="B2" t="s">
        <v>87</v>
      </c>
      <c r="C2">
        <v>75.400000000000006</v>
      </c>
      <c r="D2">
        <v>7.28</v>
      </c>
      <c r="E2">
        <v>0.11</v>
      </c>
      <c r="F2">
        <v>181.09</v>
      </c>
    </row>
    <row r="3" spans="1:6" x14ac:dyDescent="0.25">
      <c r="A3" s="15">
        <v>42460.505555555559</v>
      </c>
      <c r="B3" t="s">
        <v>87</v>
      </c>
      <c r="C3">
        <v>76</v>
      </c>
      <c r="D3">
        <v>7.25</v>
      </c>
      <c r="E3">
        <v>0.11</v>
      </c>
      <c r="F3">
        <v>181.09</v>
      </c>
    </row>
    <row r="4" spans="1:6" x14ac:dyDescent="0.25">
      <c r="A4" s="15">
        <v>42459.724305555559</v>
      </c>
      <c r="B4" t="s">
        <v>88</v>
      </c>
      <c r="C4">
        <v>91.1</v>
      </c>
      <c r="D4">
        <v>6.63</v>
      </c>
      <c r="E4">
        <v>25.26</v>
      </c>
      <c r="F4">
        <v>191.98</v>
      </c>
    </row>
    <row r="5" spans="1:6" x14ac:dyDescent="0.25">
      <c r="A5" s="15">
        <v>42460.505555555559</v>
      </c>
      <c r="B5" t="s">
        <v>88</v>
      </c>
      <c r="C5">
        <v>90.9</v>
      </c>
      <c r="D5">
        <v>6.63</v>
      </c>
      <c r="E5">
        <v>17.29</v>
      </c>
      <c r="F5">
        <v>191.93</v>
      </c>
    </row>
    <row r="6" spans="1:6" x14ac:dyDescent="0.25">
      <c r="A6" s="15">
        <v>42459.724305555559</v>
      </c>
      <c r="B6" t="s">
        <v>89</v>
      </c>
      <c r="C6">
        <v>64.599999999999994</v>
      </c>
      <c r="D6">
        <v>7.87</v>
      </c>
      <c r="E6">
        <v>0.14000000000000001</v>
      </c>
      <c r="F6">
        <v>202.6</v>
      </c>
    </row>
    <row r="7" spans="1:6" x14ac:dyDescent="0.25">
      <c r="A7" s="15">
        <v>42460.505555555559</v>
      </c>
      <c r="B7" t="s">
        <v>89</v>
      </c>
      <c r="C7">
        <v>67.099999999999994</v>
      </c>
      <c r="D7">
        <v>7.72</v>
      </c>
      <c r="E7">
        <v>0.13</v>
      </c>
      <c r="F7">
        <v>202.55</v>
      </c>
    </row>
    <row r="8" spans="1:6" x14ac:dyDescent="0.25">
      <c r="A8" s="15">
        <v>42459.724305555559</v>
      </c>
      <c r="B8" t="s">
        <v>96</v>
      </c>
      <c r="C8">
        <v>492.7</v>
      </c>
      <c r="D8">
        <v>2.85</v>
      </c>
      <c r="E8">
        <v>0.02</v>
      </c>
      <c r="F8">
        <v>277.13</v>
      </c>
    </row>
    <row r="9" spans="1:6" x14ac:dyDescent="0.25">
      <c r="A9" s="15">
        <v>42460.505555555559</v>
      </c>
      <c r="B9" t="s">
        <v>96</v>
      </c>
      <c r="C9">
        <v>484.9</v>
      </c>
      <c r="D9">
        <v>2.87</v>
      </c>
      <c r="E9">
        <v>0.02</v>
      </c>
      <c r="F9">
        <v>277.08</v>
      </c>
    </row>
    <row r="10" spans="1:6" x14ac:dyDescent="0.25">
      <c r="A10" s="15">
        <v>42459.724305555559</v>
      </c>
      <c r="B10" t="s">
        <v>97</v>
      </c>
      <c r="C10">
        <v>507.9</v>
      </c>
      <c r="D10">
        <v>2.81</v>
      </c>
      <c r="E10">
        <v>0.01</v>
      </c>
      <c r="F10">
        <v>287.76</v>
      </c>
    </row>
    <row r="11" spans="1:6" x14ac:dyDescent="0.25">
      <c r="A11" s="15">
        <v>42460.505555555559</v>
      </c>
      <c r="B11" t="s">
        <v>97</v>
      </c>
      <c r="C11">
        <v>513.4</v>
      </c>
      <c r="D11">
        <v>2.79</v>
      </c>
      <c r="E11">
        <v>0.02</v>
      </c>
      <c r="F11">
        <v>287.70999999999998</v>
      </c>
    </row>
    <row r="12" spans="1:6" x14ac:dyDescent="0.25">
      <c r="A12" s="15">
        <v>42459.724305555559</v>
      </c>
      <c r="B12" t="s">
        <v>98</v>
      </c>
      <c r="C12">
        <v>469.8</v>
      </c>
      <c r="D12">
        <v>2.92</v>
      </c>
      <c r="E12">
        <v>0.01</v>
      </c>
      <c r="F12">
        <v>298.39</v>
      </c>
    </row>
    <row r="13" spans="1:6" x14ac:dyDescent="0.25">
      <c r="A13" s="15">
        <v>42460.505555555559</v>
      </c>
      <c r="B13" t="s">
        <v>98</v>
      </c>
      <c r="C13">
        <v>454.5</v>
      </c>
      <c r="D13">
        <v>2.97</v>
      </c>
      <c r="E13">
        <v>0.02</v>
      </c>
      <c r="F13">
        <v>298.33999999999997</v>
      </c>
    </row>
    <row r="14" spans="1:6" x14ac:dyDescent="0.25">
      <c r="A14" s="15">
        <v>42459.724305555559</v>
      </c>
      <c r="B14" t="s">
        <v>90</v>
      </c>
      <c r="C14">
        <v>104.4</v>
      </c>
      <c r="D14">
        <v>6.19</v>
      </c>
      <c r="E14">
        <v>0.1</v>
      </c>
      <c r="F14">
        <v>213.24</v>
      </c>
    </row>
    <row r="15" spans="1:6" x14ac:dyDescent="0.25">
      <c r="A15" s="15">
        <v>42460.505555555559</v>
      </c>
      <c r="B15" t="s">
        <v>90</v>
      </c>
      <c r="C15">
        <v>100.6</v>
      </c>
      <c r="D15">
        <v>6.31</v>
      </c>
      <c r="E15">
        <v>0.09</v>
      </c>
      <c r="F15">
        <v>213.19</v>
      </c>
    </row>
    <row r="16" spans="1:6" x14ac:dyDescent="0.25">
      <c r="A16" s="15">
        <v>42459.724305555559</v>
      </c>
      <c r="B16" t="s">
        <v>91</v>
      </c>
      <c r="C16">
        <v>103.9</v>
      </c>
      <c r="D16">
        <v>6.2</v>
      </c>
      <c r="E16">
        <v>0.09</v>
      </c>
      <c r="F16">
        <v>223.87</v>
      </c>
    </row>
    <row r="17" spans="1:6" x14ac:dyDescent="0.25">
      <c r="A17" s="15">
        <v>42460.505555555559</v>
      </c>
      <c r="B17" t="s">
        <v>91</v>
      </c>
      <c r="C17">
        <v>102.5</v>
      </c>
      <c r="D17">
        <v>6.25</v>
      </c>
      <c r="E17">
        <v>0.1</v>
      </c>
      <c r="F17">
        <v>223.81</v>
      </c>
    </row>
    <row r="18" spans="1:6" x14ac:dyDescent="0.25">
      <c r="A18" s="15">
        <v>42459.724305555559</v>
      </c>
      <c r="B18" t="s">
        <v>92</v>
      </c>
      <c r="C18">
        <v>109.7</v>
      </c>
      <c r="D18">
        <v>6.04</v>
      </c>
      <c r="E18">
        <v>7.0000000000000007E-2</v>
      </c>
      <c r="F18">
        <v>234.51</v>
      </c>
    </row>
    <row r="19" spans="1:6" x14ac:dyDescent="0.25">
      <c r="A19" s="15">
        <v>42460.505555555559</v>
      </c>
      <c r="B19" t="s">
        <v>92</v>
      </c>
      <c r="C19">
        <v>102.7</v>
      </c>
      <c r="D19">
        <v>6.24</v>
      </c>
      <c r="E19">
        <v>0.09</v>
      </c>
      <c r="F19">
        <v>234.44</v>
      </c>
    </row>
    <row r="20" spans="1:6" x14ac:dyDescent="0.25">
      <c r="A20" s="15">
        <v>42459.724305555559</v>
      </c>
      <c r="B20" t="s">
        <v>99</v>
      </c>
      <c r="C20">
        <v>1112.8</v>
      </c>
      <c r="D20">
        <v>1.9</v>
      </c>
      <c r="E20">
        <v>0.01</v>
      </c>
      <c r="F20">
        <v>309.02</v>
      </c>
    </row>
    <row r="21" spans="1:6" x14ac:dyDescent="0.25">
      <c r="A21" s="15">
        <v>42460.505555555559</v>
      </c>
      <c r="B21" t="s">
        <v>99</v>
      </c>
      <c r="C21">
        <v>1124.3</v>
      </c>
      <c r="D21">
        <v>1.89</v>
      </c>
      <c r="E21">
        <v>0.01</v>
      </c>
      <c r="F21">
        <v>308.95999999999998</v>
      </c>
    </row>
    <row r="22" spans="1:6" x14ac:dyDescent="0.25">
      <c r="A22" s="15">
        <v>42459.724305555559</v>
      </c>
      <c r="B22" t="s">
        <v>100</v>
      </c>
      <c r="C22">
        <v>1090.9000000000001</v>
      </c>
      <c r="D22">
        <v>1.91</v>
      </c>
      <c r="E22">
        <v>0.01</v>
      </c>
      <c r="F22">
        <v>319.66000000000003</v>
      </c>
    </row>
    <row r="23" spans="1:6" x14ac:dyDescent="0.25">
      <c r="A23" s="15">
        <v>42460.505555555559</v>
      </c>
      <c r="B23" t="s">
        <v>100</v>
      </c>
      <c r="C23">
        <v>1063.9000000000001</v>
      </c>
      <c r="D23">
        <v>1.94</v>
      </c>
      <c r="E23">
        <v>0.01</v>
      </c>
      <c r="F23">
        <v>319.61</v>
      </c>
    </row>
    <row r="24" spans="1:6" x14ac:dyDescent="0.25">
      <c r="A24" s="15">
        <v>42459.724305555559</v>
      </c>
      <c r="B24" t="s">
        <v>101</v>
      </c>
      <c r="C24">
        <v>1203.8</v>
      </c>
      <c r="D24">
        <v>1.82</v>
      </c>
      <c r="E24">
        <v>0.01</v>
      </c>
      <c r="F24">
        <v>330.29</v>
      </c>
    </row>
    <row r="25" spans="1:6" x14ac:dyDescent="0.25">
      <c r="A25" s="15">
        <v>42460.505555555559</v>
      </c>
      <c r="B25" t="s">
        <v>101</v>
      </c>
      <c r="C25">
        <v>1192</v>
      </c>
      <c r="D25">
        <v>1.83</v>
      </c>
      <c r="E25">
        <v>0.01</v>
      </c>
      <c r="F25">
        <v>330.22</v>
      </c>
    </row>
    <row r="26" spans="1:6" x14ac:dyDescent="0.25">
      <c r="A26" s="15">
        <v>42459.724305555559</v>
      </c>
      <c r="B26" t="s">
        <v>102</v>
      </c>
      <c r="C26">
        <v>2420.1</v>
      </c>
      <c r="D26">
        <v>1.29</v>
      </c>
      <c r="E26">
        <v>0</v>
      </c>
      <c r="F26">
        <v>340.93</v>
      </c>
    </row>
    <row r="27" spans="1:6" x14ac:dyDescent="0.25">
      <c r="A27" s="15">
        <v>42460.505555555559</v>
      </c>
      <c r="B27" t="s">
        <v>102</v>
      </c>
      <c r="C27">
        <v>2368.9</v>
      </c>
      <c r="D27">
        <v>1.3</v>
      </c>
      <c r="E27">
        <v>0</v>
      </c>
      <c r="F27">
        <v>340.86</v>
      </c>
    </row>
    <row r="28" spans="1:6" x14ac:dyDescent="0.25">
      <c r="A28" s="15">
        <v>42459.724305555559</v>
      </c>
      <c r="B28" t="s">
        <v>103</v>
      </c>
      <c r="C28">
        <v>2166.8000000000002</v>
      </c>
      <c r="D28">
        <v>1.36</v>
      </c>
      <c r="E28">
        <v>0</v>
      </c>
      <c r="F28">
        <v>351.55</v>
      </c>
    </row>
    <row r="29" spans="1:6" x14ac:dyDescent="0.25">
      <c r="A29" s="15">
        <v>42460.505555555559</v>
      </c>
      <c r="B29" t="s">
        <v>103</v>
      </c>
      <c r="C29">
        <v>2170</v>
      </c>
      <c r="D29">
        <v>1.36</v>
      </c>
      <c r="E29">
        <v>0</v>
      </c>
      <c r="F29">
        <v>351.5</v>
      </c>
    </row>
    <row r="30" spans="1:6" x14ac:dyDescent="0.25">
      <c r="A30" s="15">
        <v>42459.724305555559</v>
      </c>
      <c r="B30" t="s">
        <v>104</v>
      </c>
      <c r="C30">
        <v>2342.6</v>
      </c>
      <c r="D30">
        <v>1.31</v>
      </c>
      <c r="E30">
        <v>0</v>
      </c>
      <c r="F30">
        <v>362.2</v>
      </c>
    </row>
    <row r="31" spans="1:6" x14ac:dyDescent="0.25">
      <c r="A31" s="15">
        <v>42460.505555555559</v>
      </c>
      <c r="B31" t="s">
        <v>104</v>
      </c>
      <c r="C31">
        <v>2336.8000000000002</v>
      </c>
      <c r="D31">
        <v>1.31</v>
      </c>
      <c r="E31">
        <v>0</v>
      </c>
      <c r="F31">
        <v>362.15</v>
      </c>
    </row>
    <row r="32" spans="1:6" x14ac:dyDescent="0.25">
      <c r="A32" s="15">
        <v>42459.724305555559</v>
      </c>
      <c r="B32" t="s">
        <v>93</v>
      </c>
      <c r="C32">
        <v>265.8</v>
      </c>
      <c r="D32">
        <v>3.88</v>
      </c>
      <c r="E32">
        <v>0.04</v>
      </c>
      <c r="F32">
        <v>245.14</v>
      </c>
    </row>
    <row r="33" spans="1:6" x14ac:dyDescent="0.25">
      <c r="A33" s="15">
        <v>42460.505555555559</v>
      </c>
      <c r="B33" t="s">
        <v>93</v>
      </c>
      <c r="C33">
        <v>265</v>
      </c>
      <c r="D33">
        <v>3.89</v>
      </c>
      <c r="E33">
        <v>0.04</v>
      </c>
      <c r="F33">
        <v>245.08</v>
      </c>
    </row>
    <row r="34" spans="1:6" x14ac:dyDescent="0.25">
      <c r="A34" s="15">
        <v>42459.724305555559</v>
      </c>
      <c r="B34" t="s">
        <v>94</v>
      </c>
      <c r="C34">
        <v>230.2</v>
      </c>
      <c r="D34">
        <v>4.17</v>
      </c>
      <c r="E34">
        <v>0.04</v>
      </c>
      <c r="F34">
        <v>255.77</v>
      </c>
    </row>
    <row r="35" spans="1:6" x14ac:dyDescent="0.25">
      <c r="A35" s="15">
        <v>42460.505555555559</v>
      </c>
      <c r="B35" t="s">
        <v>94</v>
      </c>
      <c r="C35">
        <v>241.3</v>
      </c>
      <c r="D35">
        <v>4.07</v>
      </c>
      <c r="E35">
        <v>0.03</v>
      </c>
      <c r="F35">
        <v>255.7</v>
      </c>
    </row>
    <row r="36" spans="1:6" x14ac:dyDescent="0.25">
      <c r="A36" s="15">
        <v>42459.724305555559</v>
      </c>
      <c r="B36" t="s">
        <v>95</v>
      </c>
      <c r="C36">
        <v>273.5</v>
      </c>
      <c r="D36">
        <v>3.82</v>
      </c>
      <c r="E36">
        <v>0.02</v>
      </c>
      <c r="F36">
        <v>266.5</v>
      </c>
    </row>
    <row r="37" spans="1:6" x14ac:dyDescent="0.25">
      <c r="A37" s="15">
        <v>42460.505555555559</v>
      </c>
      <c r="B37" t="s">
        <v>95</v>
      </c>
      <c r="C37">
        <v>274.5</v>
      </c>
      <c r="D37">
        <v>3.82</v>
      </c>
      <c r="E37">
        <v>0.03</v>
      </c>
      <c r="F37">
        <v>266.44</v>
      </c>
    </row>
  </sheetData>
  <autoFilter ref="A1:F37">
    <sortState ref="A2:F37">
      <sortCondition ref="B1:B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zoomScale="85" zoomScaleNormal="85" workbookViewId="0">
      <selection activeCell="D20" sqref="D20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22" customWidth="1"/>
    <col min="26" max="16384" width="9.140625" style="22"/>
  </cols>
  <sheetData>
    <row r="1" spans="1:24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116</v>
      </c>
      <c r="G1" s="2" t="s">
        <v>117</v>
      </c>
      <c r="H1" s="2" t="s">
        <v>118</v>
      </c>
      <c r="I1" s="23" t="s">
        <v>119</v>
      </c>
      <c r="J1" s="23" t="s">
        <v>120</v>
      </c>
      <c r="K1" s="2" t="s">
        <v>119</v>
      </c>
      <c r="L1" s="2"/>
      <c r="M1" s="2"/>
      <c r="N1" s="2"/>
      <c r="O1" s="2"/>
    </row>
    <row r="2" spans="1:24" x14ac:dyDescent="0.25">
      <c r="A2" s="3" t="s">
        <v>45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2">
        <f>0</f>
        <v>0</v>
      </c>
      <c r="H2" s="2">
        <f>D2*$B$65+$B$64</f>
        <v>-0.86244335302746633</v>
      </c>
      <c r="I2" s="2" t="e">
        <f t="shared" ref="I2:I9" si="0">ABS(H2-G2)/G2</f>
        <v>#DIV/0!</v>
      </c>
      <c r="J2" s="2">
        <f>D2*$B$31+$B$30</f>
        <v>0.1441714628506657</v>
      </c>
      <c r="K2" s="2" t="e">
        <f t="shared" ref="K2:K9" si="1">ABS(J2-G2)/G2</f>
        <v>#DIV/0!</v>
      </c>
    </row>
    <row r="3" spans="1:24" x14ac:dyDescent="0.25">
      <c r="A3" s="3" t="s">
        <v>36</v>
      </c>
      <c r="B3" s="2">
        <v>213.53333333333333</v>
      </c>
      <c r="C3" s="2">
        <v>4.5389670875898238</v>
      </c>
      <c r="D3" s="2">
        <f t="shared" ref="D3:E10" si="2">B3/60</f>
        <v>3.5588888888888888</v>
      </c>
      <c r="E3" s="2">
        <f t="shared" si="2"/>
        <v>7.5649451459830402E-2</v>
      </c>
      <c r="G3" s="12">
        <f>F7*0.01</f>
        <v>0.42769009531437396</v>
      </c>
      <c r="H3" s="2">
        <f t="shared" ref="H3:H9" si="3">D3*$B$65+$B$64</f>
        <v>-0.46848823374427229</v>
      </c>
      <c r="I3" s="2">
        <f t="shared" si="0"/>
        <v>2.0953918243065921</v>
      </c>
      <c r="J3" s="2">
        <f t="shared" ref="J3:J9" si="4">D3*$B$31+$B$30</f>
        <v>0.52694379154793525</v>
      </c>
      <c r="K3" s="2">
        <f t="shared" si="1"/>
        <v>0.23206919524429195</v>
      </c>
    </row>
    <row r="4" spans="1:24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G4" s="12">
        <f>F7*0.05</f>
        <v>2.1384504765718702</v>
      </c>
      <c r="H4" s="2">
        <f t="shared" si="3"/>
        <v>1.273270363178999</v>
      </c>
      <c r="I4" s="2">
        <f t="shared" si="0"/>
        <v>0.40458272140107415</v>
      </c>
      <c r="J4" s="2">
        <f t="shared" si="4"/>
        <v>2.2192609148432805</v>
      </c>
      <c r="K4" s="2">
        <f t="shared" si="1"/>
        <v>3.7789249345141149E-2</v>
      </c>
    </row>
    <row r="5" spans="1:24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G5" s="12">
        <f>F7*0.1</f>
        <v>4.2769009531437403</v>
      </c>
      <c r="H5" s="2">
        <f t="shared" si="3"/>
        <v>3.4150827376553288</v>
      </c>
      <c r="I5" s="2">
        <f t="shared" si="0"/>
        <v>0.20150530136895764</v>
      </c>
      <c r="J5" s="2">
        <f t="shared" si="4"/>
        <v>4.3002759088928997</v>
      </c>
      <c r="K5" s="2">
        <f t="shared" si="1"/>
        <v>5.465395622963303E-3</v>
      </c>
    </row>
    <row r="6" spans="1:24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G6" s="12">
        <f>F7*0.5</f>
        <v>21.384504765718699</v>
      </c>
      <c r="H6" s="2">
        <f t="shared" si="3"/>
        <v>20.791161420752843</v>
      </c>
      <c r="I6" s="2">
        <f t="shared" si="0"/>
        <v>2.7746415054560394E-2</v>
      </c>
      <c r="J6" s="2">
        <f t="shared" si="4"/>
        <v>21.183118079488228</v>
      </c>
      <c r="K6" s="2">
        <f t="shared" si="1"/>
        <v>9.4174117397991877E-3</v>
      </c>
    </row>
    <row r="7" spans="1:24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>
        <f>'[1]Gamma Counter Geometry'!G6</f>
        <v>42.769009531437398</v>
      </c>
      <c r="G7" s="12">
        <f>F7</f>
        <v>42.769009531437398</v>
      </c>
      <c r="H7" s="2">
        <f t="shared" si="3"/>
        <v>42.796303780178178</v>
      </c>
      <c r="I7" s="2">
        <f t="shared" si="0"/>
        <v>6.3817818181451417E-4</v>
      </c>
      <c r="J7" s="2">
        <f t="shared" si="4"/>
        <v>42.563623553202696</v>
      </c>
      <c r="K7" s="2">
        <f t="shared" si="1"/>
        <v>4.8022149796041616E-3</v>
      </c>
    </row>
    <row r="8" spans="1:24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G8" s="12">
        <f>F7*5</f>
        <v>213.845047657187</v>
      </c>
      <c r="H8" s="2">
        <f t="shared" si="3"/>
        <v>219.142648643325</v>
      </c>
      <c r="I8" s="2">
        <f t="shared" si="0"/>
        <v>2.4773082398571806E-2</v>
      </c>
      <c r="J8" s="2">
        <f t="shared" si="4"/>
        <v>213.90420976854736</v>
      </c>
      <c r="K8" s="2">
        <f t="shared" si="1"/>
        <v>2.766587863900749E-4</v>
      </c>
    </row>
    <row r="9" spans="1:24" x14ac:dyDescent="0.25">
      <c r="A9" s="4" t="s">
        <v>114</v>
      </c>
      <c r="B9" s="2">
        <v>337473.1</v>
      </c>
      <c r="C9" s="2">
        <f>0.11/100*B9</f>
        <v>371.22041000000002</v>
      </c>
      <c r="D9" s="2">
        <f t="shared" si="2"/>
        <v>5624.5516666666663</v>
      </c>
      <c r="E9" s="2">
        <f t="shared" si="2"/>
        <v>6.1870068333333332</v>
      </c>
      <c r="F9">
        <f>'[1]Stock Log'!F6</f>
        <v>921.74647887323954</v>
      </c>
      <c r="G9" s="24">
        <f>F9</f>
        <v>921.74647887323954</v>
      </c>
      <c r="H9" s="2">
        <f t="shared" si="3"/>
        <v>920.50054699429393</v>
      </c>
      <c r="I9" s="2">
        <f t="shared" si="0"/>
        <v>1.3517077716083742E-3</v>
      </c>
      <c r="J9" s="2">
        <f t="shared" si="4"/>
        <v>895.35339740822087</v>
      </c>
      <c r="K9" s="2">
        <f t="shared" si="1"/>
        <v>2.8633775197364545E-2</v>
      </c>
    </row>
    <row r="10" spans="1:24" x14ac:dyDescent="0.25">
      <c r="A10" s="4" t="s">
        <v>115</v>
      </c>
      <c r="B10" s="23">
        <v>173514.3</v>
      </c>
      <c r="C10" s="2">
        <f>0.15/100*B10</f>
        <v>260.27145000000002</v>
      </c>
      <c r="D10" s="2">
        <f t="shared" si="2"/>
        <v>2891.9049999999997</v>
      </c>
      <c r="E10" s="2">
        <f t="shared" si="2"/>
        <v>4.3378575000000001</v>
      </c>
      <c r="F10"/>
      <c r="G10"/>
      <c r="H10" s="5"/>
      <c r="I10" s="5"/>
      <c r="J10" s="5"/>
      <c r="K10" s="5"/>
    </row>
    <row r="11" spans="1:24" x14ac:dyDescent="0.25">
      <c r="D11"/>
      <c r="F11"/>
      <c r="G11"/>
      <c r="H11" s="5" t="s">
        <v>121</v>
      </c>
      <c r="I11" s="5">
        <f>AVERAGE(I3:I9)</f>
        <v>0.39371274721188276</v>
      </c>
      <c r="J11" s="5"/>
      <c r="K11" s="5">
        <f>AVERAGE(K3:K8)</f>
        <v>4.8303354286364959E-2</v>
      </c>
    </row>
    <row r="12" spans="1:24" x14ac:dyDescent="0.25">
      <c r="A12" s="17" t="s">
        <v>122</v>
      </c>
      <c r="B12" s="18"/>
      <c r="C12" s="18"/>
      <c r="D12" s="18"/>
      <c r="E12" s="18"/>
      <c r="F12" s="18"/>
      <c r="G12" s="18"/>
      <c r="H12" s="18"/>
      <c r="I12" s="18"/>
      <c r="J12" s="19"/>
      <c r="K12" s="18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2"/>
      <c r="W12" s="22"/>
      <c r="X12" s="22"/>
    </row>
    <row r="13" spans="1:24" x14ac:dyDescent="0.25">
      <c r="A13" s="22" t="s">
        <v>123</v>
      </c>
      <c r="B13" s="22"/>
      <c r="C13" s="22"/>
      <c r="D13" s="22"/>
      <c r="E13" s="22"/>
      <c r="F13" s="22"/>
      <c r="G13" s="22"/>
      <c r="H13" s="22"/>
      <c r="I13" s="22"/>
      <c r="J13" s="22"/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x14ac:dyDescent="0.25">
      <c r="A14" t="s">
        <v>47</v>
      </c>
      <c r="B14"/>
      <c r="C14"/>
      <c r="D14"/>
      <c r="E14"/>
      <c r="F14"/>
      <c r="G14"/>
      <c r="H14"/>
      <c r="I1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thickBot="1" x14ac:dyDescent="0.3">
      <c r="A15"/>
      <c r="B15"/>
      <c r="C15"/>
      <c r="D15"/>
      <c r="E15"/>
      <c r="F15"/>
      <c r="G15"/>
      <c r="H15"/>
      <c r="I1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x14ac:dyDescent="0.25">
      <c r="A16" s="6" t="s">
        <v>48</v>
      </c>
      <c r="B16" s="6"/>
      <c r="C16"/>
      <c r="D16"/>
      <c r="E16"/>
      <c r="F16"/>
      <c r="G16"/>
      <c r="H16"/>
      <c r="I16"/>
      <c r="J16" s="8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x14ac:dyDescent="0.25">
      <c r="A17" s="7" t="s">
        <v>49</v>
      </c>
      <c r="B17" s="7">
        <v>0.99999829960800457</v>
      </c>
      <c r="C17"/>
      <c r="D17"/>
      <c r="E17"/>
      <c r="F17"/>
      <c r="G17"/>
      <c r="H17"/>
      <c r="I17"/>
      <c r="J17" s="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x14ac:dyDescent="0.25">
      <c r="A18" s="7" t="s">
        <v>50</v>
      </c>
      <c r="B18" s="7">
        <v>0.99999659921890038</v>
      </c>
      <c r="C18"/>
      <c r="D18"/>
      <c r="E18"/>
      <c r="F18"/>
      <c r="G18"/>
      <c r="H18"/>
      <c r="I18"/>
      <c r="J18" s="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x14ac:dyDescent="0.25">
      <c r="A19" s="7" t="s">
        <v>51</v>
      </c>
      <c r="B19" s="7">
        <v>0.99999591906268037</v>
      </c>
      <c r="C19"/>
      <c r="D19"/>
      <c r="E19"/>
      <c r="F19"/>
      <c r="G19"/>
      <c r="H19"/>
      <c r="I19"/>
      <c r="J19" s="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25">
      <c r="A20" s="7" t="s">
        <v>52</v>
      </c>
      <c r="B20" s="7">
        <v>0.15745067498955981</v>
      </c>
      <c r="C20"/>
      <c r="D20"/>
      <c r="E20"/>
      <c r="F20"/>
      <c r="G20"/>
      <c r="H20"/>
      <c r="I20"/>
      <c r="J20" s="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thickBot="1" x14ac:dyDescent="0.3">
      <c r="A21" s="9" t="s">
        <v>53</v>
      </c>
      <c r="B21" s="9">
        <v>7</v>
      </c>
      <c r="C21"/>
      <c r="D21"/>
      <c r="E21"/>
      <c r="F21"/>
      <c r="G21"/>
      <c r="H21"/>
      <c r="I21"/>
      <c r="J21" s="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 x14ac:dyDescent="0.25">
      <c r="A22"/>
      <c r="B22"/>
      <c r="C22"/>
      <c r="D22"/>
      <c r="E22"/>
      <c r="F22"/>
      <c r="G22"/>
      <c r="H22"/>
      <c r="I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5.75" thickBot="1" x14ac:dyDescent="0.3">
      <c r="A23" t="s">
        <v>54</v>
      </c>
      <c r="B23"/>
      <c r="C23"/>
      <c r="D23"/>
      <c r="E23"/>
      <c r="F23"/>
      <c r="G23"/>
      <c r="H23"/>
      <c r="I2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x14ac:dyDescent="0.25">
      <c r="A24" s="10"/>
      <c r="B24" s="10" t="s">
        <v>55</v>
      </c>
      <c r="C24" s="10" t="s">
        <v>56</v>
      </c>
      <c r="D24" s="10" t="s">
        <v>57</v>
      </c>
      <c r="E24" s="10" t="s">
        <v>58</v>
      </c>
      <c r="F24" s="10" t="s">
        <v>59</v>
      </c>
      <c r="G24"/>
      <c r="H24"/>
      <c r="I24"/>
      <c r="J24" s="1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x14ac:dyDescent="0.25">
      <c r="A25" s="7" t="s">
        <v>60</v>
      </c>
      <c r="B25" s="7">
        <v>1</v>
      </c>
      <c r="C25" s="7">
        <v>36448.436434940144</v>
      </c>
      <c r="D25" s="7">
        <v>36448.436434940144</v>
      </c>
      <c r="E25" s="7">
        <v>1470245.4670857524</v>
      </c>
      <c r="F25" s="7">
        <v>7.2414589665754382E-15</v>
      </c>
      <c r="G25"/>
      <c r="H25"/>
      <c r="I25"/>
      <c r="J25" s="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5.75" customHeight="1" x14ac:dyDescent="0.25">
      <c r="A26" s="7" t="s">
        <v>61</v>
      </c>
      <c r="B26" s="7">
        <v>5</v>
      </c>
      <c r="C26" s="7">
        <v>0.12395357527333999</v>
      </c>
      <c r="D26" s="7">
        <v>2.4790715054667997E-2</v>
      </c>
      <c r="E26" s="7"/>
      <c r="F26" s="7"/>
      <c r="G26"/>
      <c r="H26"/>
      <c r="I26"/>
      <c r="J26" s="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5.75" thickBot="1" x14ac:dyDescent="0.3">
      <c r="A27" s="9" t="s">
        <v>62</v>
      </c>
      <c r="B27" s="9">
        <v>6</v>
      </c>
      <c r="C27" s="9">
        <v>36448.56038851542</v>
      </c>
      <c r="D27" s="9"/>
      <c r="E27" s="9"/>
      <c r="F27" s="9"/>
      <c r="G27"/>
      <c r="H27"/>
      <c r="I27"/>
      <c r="J27" s="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thickBot="1" x14ac:dyDescent="0.3">
      <c r="A28"/>
      <c r="B28"/>
      <c r="C28"/>
      <c r="D28"/>
      <c r="E28"/>
      <c r="F28"/>
      <c r="G28"/>
      <c r="H28"/>
      <c r="I28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x14ac:dyDescent="0.25">
      <c r="A29" s="10"/>
      <c r="B29" s="10" t="s">
        <v>63</v>
      </c>
      <c r="C29" s="10" t="s">
        <v>52</v>
      </c>
      <c r="D29" s="10" t="s">
        <v>64</v>
      </c>
      <c r="E29" s="10" t="s">
        <v>65</v>
      </c>
      <c r="F29" s="10" t="s">
        <v>66</v>
      </c>
      <c r="G29" s="10" t="s">
        <v>67</v>
      </c>
      <c r="H29" s="10" t="s">
        <v>68</v>
      </c>
      <c r="I29" s="10" t="s">
        <v>69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customHeight="1" x14ac:dyDescent="0.25">
      <c r="A30" s="7" t="s">
        <v>70</v>
      </c>
      <c r="B30" s="7">
        <v>-3.9608781842709107E-2</v>
      </c>
      <c r="C30" s="7">
        <v>6.8336946505889784E-2</v>
      </c>
      <c r="D30" s="7">
        <v>-0.57961006260786507</v>
      </c>
      <c r="E30" s="7">
        <v>0.5873118215120845</v>
      </c>
      <c r="F30" s="7">
        <v>-0.21527449523359993</v>
      </c>
      <c r="G30" s="7">
        <v>0.13605693154818171</v>
      </c>
      <c r="H30" s="7">
        <v>-0.21527449523359993</v>
      </c>
      <c r="I30" s="7">
        <v>0.13605693154818171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thickBot="1" x14ac:dyDescent="0.3">
      <c r="A31" s="9" t="s">
        <v>71</v>
      </c>
      <c r="B31" s="9">
        <v>0.15919366720311581</v>
      </c>
      <c r="C31" s="9">
        <v>1.3128976251852687E-4</v>
      </c>
      <c r="D31" s="9">
        <v>1212.5367899926798</v>
      </c>
      <c r="E31" s="9">
        <v>7.2414589665754382E-15</v>
      </c>
      <c r="F31" s="9">
        <v>0.15885617612438069</v>
      </c>
      <c r="G31" s="9">
        <v>0.15953115828185094</v>
      </c>
      <c r="H31" s="9">
        <v>0.15885617612438069</v>
      </c>
      <c r="I31" s="9">
        <v>0.15953115828185094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x14ac:dyDescent="0.25">
      <c r="A32"/>
      <c r="B32"/>
      <c r="C32"/>
      <c r="D32"/>
      <c r="E32"/>
      <c r="F32"/>
      <c r="G32"/>
      <c r="H32"/>
      <c r="I3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x14ac:dyDescent="0.25">
      <c r="A33"/>
      <c r="B33"/>
      <c r="C33"/>
      <c r="D33"/>
      <c r="E33"/>
      <c r="F33"/>
      <c r="G33"/>
      <c r="H33"/>
      <c r="I3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x14ac:dyDescent="0.25">
      <c r="A34"/>
      <c r="B34"/>
      <c r="C34"/>
      <c r="D34"/>
      <c r="E34"/>
      <c r="F34"/>
      <c r="G34"/>
      <c r="H34"/>
      <c r="I3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x14ac:dyDescent="0.25">
      <c r="A35" t="s">
        <v>72</v>
      </c>
      <c r="B35"/>
      <c r="C35"/>
      <c r="D35"/>
      <c r="E35"/>
      <c r="F35"/>
      <c r="G35"/>
      <c r="H35"/>
      <c r="I35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thickBot="1" x14ac:dyDescent="0.3">
      <c r="A36"/>
      <c r="B36"/>
      <c r="C36"/>
      <c r="D36"/>
      <c r="E36"/>
      <c r="F36"/>
      <c r="G36"/>
      <c r="H36"/>
      <c r="I36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x14ac:dyDescent="0.25">
      <c r="A37" s="10" t="s">
        <v>73</v>
      </c>
      <c r="B37" s="10" t="s">
        <v>74</v>
      </c>
      <c r="C37" s="10" t="s">
        <v>75</v>
      </c>
      <c r="D37"/>
      <c r="E37"/>
      <c r="F37"/>
      <c r="G37"/>
      <c r="H37"/>
      <c r="I37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x14ac:dyDescent="0.25">
      <c r="A38" s="7">
        <v>1</v>
      </c>
      <c r="B38" s="7">
        <v>0.1441714628506657</v>
      </c>
      <c r="C38" s="7">
        <v>-0.1441714628506657</v>
      </c>
      <c r="D38"/>
      <c r="E38"/>
      <c r="F38"/>
      <c r="G38"/>
      <c r="H38"/>
      <c r="I38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x14ac:dyDescent="0.25">
      <c r="A39" s="7">
        <v>2</v>
      </c>
      <c r="B39" s="7">
        <v>0.52694379154793525</v>
      </c>
      <c r="C39" s="7">
        <v>-9.9253696233561284E-2</v>
      </c>
      <c r="D39"/>
      <c r="E39"/>
      <c r="F39"/>
      <c r="G39"/>
      <c r="H39"/>
      <c r="I39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x14ac:dyDescent="0.25">
      <c r="A40" s="7">
        <v>3</v>
      </c>
      <c r="B40" s="7">
        <v>2.2192609148432805</v>
      </c>
      <c r="C40" s="7">
        <v>-8.0810438271410323E-2</v>
      </c>
      <c r="D40"/>
      <c r="E40"/>
      <c r="F40"/>
      <c r="G40"/>
      <c r="H40"/>
      <c r="I40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x14ac:dyDescent="0.25">
      <c r="A41" s="7">
        <v>4</v>
      </c>
      <c r="B41" s="7">
        <v>4.3002759088928997</v>
      </c>
      <c r="C41" s="7">
        <v>-2.3374955749159376E-2</v>
      </c>
      <c r="D41"/>
      <c r="E41"/>
      <c r="F41"/>
      <c r="G41"/>
      <c r="H41"/>
      <c r="I41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5.75" customHeight="1" x14ac:dyDescent="0.25">
      <c r="A42" s="7">
        <v>5</v>
      </c>
      <c r="B42" s="7">
        <v>21.183118079488228</v>
      </c>
      <c r="C42" s="7">
        <v>0.20138668623047096</v>
      </c>
      <c r="D42"/>
      <c r="E42"/>
      <c r="F42"/>
      <c r="G42"/>
      <c r="H42"/>
      <c r="I4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5.75" customHeight="1" x14ac:dyDescent="0.25">
      <c r="A43" s="7">
        <v>6</v>
      </c>
      <c r="B43" s="7">
        <v>42.563623553202696</v>
      </c>
      <c r="C43" s="7">
        <v>0.20538597823470184</v>
      </c>
      <c r="D43"/>
      <c r="E43"/>
      <c r="F43"/>
      <c r="G43"/>
      <c r="H43"/>
      <c r="I4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5.75" thickBot="1" x14ac:dyDescent="0.3">
      <c r="A44" s="9">
        <v>7</v>
      </c>
      <c r="B44" s="9">
        <v>213.90420976854736</v>
      </c>
      <c r="C44" s="9">
        <v>-5.9162111360365088E-2</v>
      </c>
      <c r="D44"/>
      <c r="E44"/>
      <c r="F44"/>
      <c r="G44"/>
      <c r="H44"/>
      <c r="I4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x14ac:dyDescent="0.25">
      <c r="A47" s="22" t="s">
        <v>124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x14ac:dyDescent="0.25">
      <c r="A48" t="s">
        <v>47</v>
      </c>
      <c r="B48"/>
      <c r="C48"/>
      <c r="D48"/>
      <c r="E48"/>
      <c r="F48"/>
      <c r="G48"/>
      <c r="H48"/>
      <c r="I48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thickBot="1" x14ac:dyDescent="0.3">
      <c r="A49"/>
      <c r="B49"/>
      <c r="C49"/>
      <c r="D49"/>
      <c r="E49"/>
      <c r="F49"/>
      <c r="G49"/>
      <c r="H49"/>
      <c r="I49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x14ac:dyDescent="0.25">
      <c r="A50" s="6" t="s">
        <v>48</v>
      </c>
      <c r="B50" s="6"/>
      <c r="C50"/>
      <c r="D50"/>
      <c r="E50"/>
      <c r="F50"/>
      <c r="G50"/>
      <c r="H50"/>
      <c r="I50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x14ac:dyDescent="0.25">
      <c r="A51" s="7" t="s">
        <v>49</v>
      </c>
      <c r="B51" s="7">
        <v>0.99997693899899576</v>
      </c>
      <c r="C51"/>
      <c r="D51"/>
      <c r="E51"/>
      <c r="F51"/>
      <c r="G51"/>
      <c r="H51"/>
      <c r="I5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x14ac:dyDescent="0.25">
      <c r="A52" s="7" t="s">
        <v>50</v>
      </c>
      <c r="B52" s="7">
        <v>0.99995387852980122</v>
      </c>
      <c r="C52"/>
      <c r="D52"/>
      <c r="E52"/>
      <c r="F52"/>
      <c r="G52"/>
      <c r="H52"/>
      <c r="I5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x14ac:dyDescent="0.25">
      <c r="A53" s="7" t="s">
        <v>51</v>
      </c>
      <c r="B53" s="7">
        <v>0.99994619161810139</v>
      </c>
      <c r="C53"/>
      <c r="D53"/>
      <c r="E53"/>
      <c r="F53"/>
      <c r="G53"/>
      <c r="H53"/>
      <c r="I5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x14ac:dyDescent="0.25">
      <c r="A54" s="7" t="s">
        <v>52</v>
      </c>
      <c r="B54" s="7">
        <v>2.3454898264593513</v>
      </c>
      <c r="C54"/>
      <c r="D54"/>
      <c r="E54"/>
      <c r="F54"/>
      <c r="G54"/>
      <c r="H54"/>
      <c r="I54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thickBot="1" x14ac:dyDescent="0.3">
      <c r="A55" s="9" t="s">
        <v>53</v>
      </c>
      <c r="B55" s="9">
        <v>8</v>
      </c>
      <c r="C55"/>
      <c r="D55"/>
      <c r="E55"/>
      <c r="F55"/>
      <c r="G55"/>
      <c r="H55"/>
      <c r="I55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x14ac:dyDescent="0.25">
      <c r="A56"/>
      <c r="B56"/>
      <c r="C56"/>
      <c r="D56"/>
      <c r="E56"/>
      <c r="F56"/>
      <c r="G56"/>
      <c r="H56"/>
      <c r="I56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thickBot="1" x14ac:dyDescent="0.3">
      <c r="A57" t="s">
        <v>54</v>
      </c>
      <c r="B57"/>
      <c r="C57"/>
      <c r="D57"/>
      <c r="E57"/>
      <c r="F57"/>
      <c r="G57"/>
      <c r="H57"/>
      <c r="I57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x14ac:dyDescent="0.25">
      <c r="A58" s="10"/>
      <c r="B58" s="10" t="s">
        <v>55</v>
      </c>
      <c r="C58" s="10" t="s">
        <v>56</v>
      </c>
      <c r="D58" s="10" t="s">
        <v>57</v>
      </c>
      <c r="E58" s="10" t="s">
        <v>58</v>
      </c>
      <c r="F58" s="10" t="s">
        <v>59</v>
      </c>
      <c r="G58"/>
      <c r="H58"/>
      <c r="I58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x14ac:dyDescent="0.25">
      <c r="A59" s="7" t="s">
        <v>60</v>
      </c>
      <c r="B59" s="7">
        <v>1</v>
      </c>
      <c r="C59" s="7">
        <v>715640.95071954106</v>
      </c>
      <c r="D59" s="7">
        <v>715640.95071954106</v>
      </c>
      <c r="E59" s="7">
        <v>130085.25628776736</v>
      </c>
      <c r="F59" s="7">
        <v>3.0659633657492487E-14</v>
      </c>
      <c r="G59"/>
      <c r="H59"/>
      <c r="I59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x14ac:dyDescent="0.25">
      <c r="A60" s="7" t="s">
        <v>61</v>
      </c>
      <c r="B60" s="7">
        <v>6</v>
      </c>
      <c r="C60" s="7">
        <v>33.007935156145905</v>
      </c>
      <c r="D60" s="7">
        <v>5.5013225260243175</v>
      </c>
      <c r="E60" s="7"/>
      <c r="F60" s="7"/>
      <c r="G60"/>
      <c r="H60"/>
      <c r="I60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5.75" thickBot="1" x14ac:dyDescent="0.3">
      <c r="A61" s="9" t="s">
        <v>62</v>
      </c>
      <c r="B61" s="9">
        <v>7</v>
      </c>
      <c r="C61" s="9">
        <v>715673.95865469717</v>
      </c>
      <c r="D61" s="9"/>
      <c r="E61" s="9"/>
      <c r="F61" s="9"/>
      <c r="G61"/>
      <c r="H61"/>
      <c r="I61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5.75" thickBot="1" x14ac:dyDescent="0.3">
      <c r="A62"/>
      <c r="B62"/>
      <c r="C62"/>
      <c r="D62"/>
      <c r="E62"/>
      <c r="F62"/>
      <c r="G62"/>
      <c r="H62"/>
      <c r="I6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x14ac:dyDescent="0.25">
      <c r="A63" s="10"/>
      <c r="B63" s="10" t="s">
        <v>63</v>
      </c>
      <c r="C63" s="10" t="s">
        <v>52</v>
      </c>
      <c r="D63" s="10" t="s">
        <v>64</v>
      </c>
      <c r="E63" s="10" t="s">
        <v>65</v>
      </c>
      <c r="F63" s="10" t="s">
        <v>66</v>
      </c>
      <c r="G63" s="10" t="s">
        <v>67</v>
      </c>
      <c r="H63" s="10" t="s">
        <v>68</v>
      </c>
      <c r="I63" s="10" t="s">
        <v>69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x14ac:dyDescent="0.25">
      <c r="A64" s="7" t="s">
        <v>70</v>
      </c>
      <c r="B64" s="7">
        <v>-1.0515927841435655</v>
      </c>
      <c r="C64" s="7">
        <v>0.93004309568280563</v>
      </c>
      <c r="D64" s="7">
        <v>-1.1306925335234301</v>
      </c>
      <c r="E64" s="7">
        <v>0.30134624757372269</v>
      </c>
      <c r="F64" s="7">
        <v>-3.3273262570453777</v>
      </c>
      <c r="G64" s="7">
        <v>1.2241406887582467</v>
      </c>
      <c r="H64" s="7">
        <v>-3.3273262570453777</v>
      </c>
      <c r="I64" s="7">
        <v>1.2241406887582467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5.75" thickBot="1" x14ac:dyDescent="0.3">
      <c r="A65" s="9" t="s">
        <v>71</v>
      </c>
      <c r="B65" s="9">
        <v>0.16384455053367589</v>
      </c>
      <c r="C65" s="9">
        <v>4.5427408560216718E-4</v>
      </c>
      <c r="D65" s="9">
        <v>360.6733373674403</v>
      </c>
      <c r="E65" s="9">
        <v>3.0659633657492487E-14</v>
      </c>
      <c r="F65" s="9">
        <v>0.16273298188994789</v>
      </c>
      <c r="G65" s="9">
        <v>0.16495611917740388</v>
      </c>
      <c r="H65" s="9">
        <v>0.16273298188994789</v>
      </c>
      <c r="I65" s="9">
        <v>0.16495611917740388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x14ac:dyDescent="0.25">
      <c r="A66"/>
      <c r="B66"/>
      <c r="C66"/>
      <c r="D66"/>
      <c r="E66"/>
      <c r="F66"/>
      <c r="G66"/>
      <c r="H66"/>
      <c r="I66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x14ac:dyDescent="0.25">
      <c r="A67"/>
      <c r="B67"/>
      <c r="C67"/>
      <c r="D67"/>
      <c r="E67"/>
      <c r="F67"/>
      <c r="G67"/>
      <c r="H67"/>
      <c r="I67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x14ac:dyDescent="0.25">
      <c r="A68"/>
      <c r="B68"/>
      <c r="C68"/>
      <c r="D68"/>
      <c r="E68"/>
      <c r="F68"/>
      <c r="G68"/>
      <c r="H68"/>
      <c r="I68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x14ac:dyDescent="0.25">
      <c r="A69" t="s">
        <v>72</v>
      </c>
      <c r="B69"/>
      <c r="C69"/>
      <c r="D69"/>
      <c r="E69"/>
      <c r="F69"/>
      <c r="G69"/>
      <c r="H69"/>
      <c r="I69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thickBot="1" x14ac:dyDescent="0.3">
      <c r="A70"/>
      <c r="B70"/>
      <c r="C70"/>
      <c r="D70"/>
      <c r="E70"/>
      <c r="F70"/>
      <c r="G70"/>
      <c r="H70"/>
      <c r="I70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x14ac:dyDescent="0.25">
      <c r="A71" s="10" t="s">
        <v>73</v>
      </c>
      <c r="B71" s="10" t="s">
        <v>74</v>
      </c>
      <c r="C71" s="10" t="s">
        <v>75</v>
      </c>
      <c r="D71"/>
      <c r="E71"/>
      <c r="F71"/>
      <c r="G71"/>
      <c r="H71"/>
      <c r="I71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x14ac:dyDescent="0.25">
      <c r="A72" s="7">
        <v>1</v>
      </c>
      <c r="B72" s="7">
        <v>-0.86244335302746633</v>
      </c>
      <c r="C72" s="7">
        <v>0.86244335302746633</v>
      </c>
      <c r="D72"/>
      <c r="E72"/>
      <c r="F72"/>
      <c r="G72"/>
      <c r="H72"/>
      <c r="I7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x14ac:dyDescent="0.25">
      <c r="A73" s="7">
        <v>2</v>
      </c>
      <c r="B73" s="7">
        <v>-0.46848823374427229</v>
      </c>
      <c r="C73" s="7">
        <v>0.89617832905864625</v>
      </c>
      <c r="D73"/>
      <c r="E73"/>
      <c r="F73"/>
      <c r="G73"/>
      <c r="H73"/>
      <c r="I7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x14ac:dyDescent="0.25">
      <c r="A74" s="7">
        <v>3</v>
      </c>
      <c r="B74" s="7">
        <v>1.273270363178999</v>
      </c>
      <c r="C74" s="7">
        <v>0.86518011339287115</v>
      </c>
      <c r="D74"/>
      <c r="E74"/>
      <c r="F74"/>
      <c r="G74"/>
      <c r="H74"/>
      <c r="I74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x14ac:dyDescent="0.25">
      <c r="A75" s="7">
        <v>4</v>
      </c>
      <c r="B75" s="7">
        <v>3.4150827376553288</v>
      </c>
      <c r="C75" s="7">
        <v>0.86181821548841153</v>
      </c>
      <c r="D75"/>
      <c r="E75"/>
      <c r="F75"/>
      <c r="G75"/>
      <c r="H75"/>
      <c r="I75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x14ac:dyDescent="0.25">
      <c r="A76" s="7">
        <v>5</v>
      </c>
      <c r="B76" s="7">
        <v>20.791161420752843</v>
      </c>
      <c r="C76" s="7">
        <v>0.59334334496585583</v>
      </c>
      <c r="D76"/>
      <c r="E76"/>
      <c r="F76"/>
      <c r="G76"/>
      <c r="H76"/>
      <c r="I76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x14ac:dyDescent="0.25">
      <c r="A77" s="7">
        <v>6</v>
      </c>
      <c r="B77" s="7">
        <v>42.796303780178178</v>
      </c>
      <c r="C77" s="7">
        <v>-2.7294248740780347E-2</v>
      </c>
      <c r="D77"/>
      <c r="E77"/>
      <c r="F77"/>
      <c r="G77"/>
      <c r="H77"/>
      <c r="I77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x14ac:dyDescent="0.25">
      <c r="A78" s="7">
        <v>7</v>
      </c>
      <c r="B78" s="7">
        <v>219.142648643325</v>
      </c>
      <c r="C78" s="7">
        <v>-5.2976009861380078</v>
      </c>
      <c r="D78"/>
      <c r="E78"/>
      <c r="F78"/>
      <c r="G78"/>
      <c r="H78"/>
      <c r="I78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thickBot="1" x14ac:dyDescent="0.3">
      <c r="A79" s="9">
        <v>8</v>
      </c>
      <c r="B79" s="9">
        <v>920.50054699429393</v>
      </c>
      <c r="C79" s="9">
        <v>1.245931878945612</v>
      </c>
      <c r="D79"/>
      <c r="E79"/>
      <c r="F79"/>
      <c r="G79"/>
      <c r="H79"/>
      <c r="I79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x14ac:dyDescent="0.25">
      <c r="A80"/>
      <c r="B80"/>
      <c r="C80"/>
      <c r="D80"/>
      <c r="E80"/>
      <c r="F80"/>
      <c r="G80"/>
      <c r="H80"/>
      <c r="I80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x14ac:dyDescent="0.25">
      <c r="A81"/>
      <c r="B81"/>
      <c r="C81"/>
      <c r="D81"/>
      <c r="E81"/>
      <c r="F81"/>
      <c r="G81"/>
      <c r="H81"/>
      <c r="I81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x14ac:dyDescent="0.25">
      <c r="A82"/>
      <c r="B82"/>
      <c r="C82"/>
      <c r="D82"/>
      <c r="E82"/>
      <c r="F82"/>
      <c r="G82"/>
      <c r="H82"/>
      <c r="I8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x14ac:dyDescent="0.25">
      <c r="A83"/>
      <c r="B83"/>
      <c r="C83"/>
      <c r="D83"/>
      <c r="E83"/>
      <c r="F83"/>
      <c r="G83"/>
      <c r="H83"/>
      <c r="I8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x14ac:dyDescent="0.25">
      <c r="A84"/>
      <c r="B84"/>
      <c r="C84"/>
      <c r="D84"/>
      <c r="E84"/>
      <c r="F84"/>
      <c r="G84"/>
      <c r="H84"/>
      <c r="I84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x14ac:dyDescent="0.25">
      <c r="A85"/>
      <c r="B85"/>
      <c r="C85"/>
      <c r="D85"/>
      <c r="E85"/>
      <c r="F85"/>
      <c r="G85"/>
      <c r="H85"/>
      <c r="I85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x14ac:dyDescent="0.25">
      <c r="A86"/>
      <c r="B86"/>
      <c r="C86"/>
      <c r="D86"/>
      <c r="E86"/>
      <c r="F86"/>
      <c r="G86"/>
      <c r="H86"/>
      <c r="I86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x14ac:dyDescent="0.25">
      <c r="A87"/>
      <c r="B87"/>
      <c r="C87"/>
      <c r="D87"/>
      <c r="E87"/>
      <c r="F87"/>
      <c r="G87"/>
      <c r="H87"/>
      <c r="I87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x14ac:dyDescent="0.25">
      <c r="A88"/>
      <c r="B88"/>
      <c r="C88"/>
      <c r="D88"/>
      <c r="E88"/>
      <c r="F88"/>
      <c r="G88"/>
      <c r="H88"/>
      <c r="I88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x14ac:dyDescent="0.25">
      <c r="A89"/>
      <c r="B89"/>
      <c r="C89"/>
      <c r="D89"/>
      <c r="E89"/>
      <c r="F89"/>
      <c r="G89"/>
      <c r="H89"/>
      <c r="I89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x14ac:dyDescent="0.25">
      <c r="A90"/>
      <c r="B90"/>
      <c r="C90"/>
      <c r="D90"/>
      <c r="E90"/>
      <c r="F90"/>
      <c r="G90"/>
      <c r="H90"/>
      <c r="I90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x14ac:dyDescent="0.25">
      <c r="A91"/>
      <c r="B91"/>
      <c r="C91"/>
      <c r="D91"/>
      <c r="E91"/>
      <c r="F91"/>
      <c r="G91"/>
      <c r="H91"/>
      <c r="I91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x14ac:dyDescent="0.25">
      <c r="A92"/>
      <c r="B92"/>
      <c r="C92"/>
      <c r="D92"/>
      <c r="E92"/>
      <c r="F92"/>
      <c r="G92"/>
      <c r="H92"/>
      <c r="I9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x14ac:dyDescent="0.25">
      <c r="A93"/>
      <c r="B93"/>
      <c r="C93"/>
      <c r="D93"/>
      <c r="E93"/>
      <c r="F93"/>
      <c r="G93"/>
      <c r="H93"/>
      <c r="I9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x14ac:dyDescent="0.25">
      <c r="A94"/>
      <c r="B94"/>
      <c r="C94"/>
      <c r="D94"/>
      <c r="E94"/>
      <c r="F94"/>
      <c r="G94"/>
      <c r="H94"/>
      <c r="I94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x14ac:dyDescent="0.25">
      <c r="A95"/>
      <c r="B95"/>
      <c r="C95"/>
      <c r="D95"/>
      <c r="E95"/>
      <c r="F95"/>
      <c r="G95"/>
      <c r="H95"/>
      <c r="I95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x14ac:dyDescent="0.25">
      <c r="A96"/>
      <c r="B96"/>
      <c r="C96"/>
      <c r="D96"/>
      <c r="E96"/>
      <c r="F96"/>
      <c r="G96"/>
      <c r="H96"/>
      <c r="I96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x14ac:dyDescent="0.25">
      <c r="A97"/>
      <c r="B97"/>
      <c r="C97"/>
      <c r="D97"/>
      <c r="E97"/>
      <c r="F97"/>
      <c r="G97"/>
      <c r="H97"/>
      <c r="I97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x14ac:dyDescent="0.25">
      <c r="A98"/>
      <c r="B98"/>
      <c r="C98"/>
      <c r="D98"/>
      <c r="E98"/>
      <c r="F98"/>
      <c r="G98"/>
      <c r="H98"/>
      <c r="I98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x14ac:dyDescent="0.25">
      <c r="A99"/>
      <c r="B99"/>
      <c r="C99"/>
      <c r="D99"/>
      <c r="E99"/>
      <c r="F99"/>
      <c r="G99"/>
      <c r="H99"/>
      <c r="I99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x14ac:dyDescent="0.25">
      <c r="A100"/>
      <c r="B100"/>
      <c r="C100"/>
      <c r="D100"/>
      <c r="E100"/>
      <c r="F100"/>
      <c r="G100"/>
      <c r="H100"/>
      <c r="I100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x14ac:dyDescent="0.25">
      <c r="A101"/>
      <c r="B101"/>
      <c r="C101"/>
      <c r="D101"/>
      <c r="E101"/>
      <c r="F101"/>
      <c r="G101"/>
      <c r="H101"/>
      <c r="I101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x14ac:dyDescent="0.25">
      <c r="A102"/>
      <c r="B102"/>
      <c r="C102"/>
      <c r="D102"/>
      <c r="E102"/>
      <c r="F102"/>
      <c r="G102"/>
      <c r="H102"/>
      <c r="I10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x14ac:dyDescent="0.25">
      <c r="A103"/>
      <c r="B103"/>
      <c r="C103"/>
      <c r="D103"/>
      <c r="E103"/>
      <c r="F103"/>
      <c r="G103"/>
      <c r="H103"/>
      <c r="I10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x14ac:dyDescent="0.25">
      <c r="A104"/>
      <c r="B104"/>
      <c r="C104"/>
      <c r="D104"/>
      <c r="E104"/>
      <c r="F104"/>
      <c r="G104"/>
      <c r="H104"/>
      <c r="I104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x14ac:dyDescent="0.25">
      <c r="A105"/>
      <c r="B105"/>
      <c r="C105"/>
      <c r="D105"/>
      <c r="E105"/>
      <c r="F105"/>
      <c r="G105"/>
      <c r="H105"/>
      <c r="I105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x14ac:dyDescent="0.25">
      <c r="A106"/>
      <c r="B106"/>
      <c r="C106"/>
      <c r="D106"/>
      <c r="E106"/>
      <c r="F106"/>
      <c r="G106"/>
      <c r="H106"/>
      <c r="I106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x14ac:dyDescent="0.25">
      <c r="A107"/>
      <c r="B107"/>
      <c r="C107"/>
      <c r="D107"/>
      <c r="E107"/>
      <c r="F107"/>
      <c r="G107"/>
      <c r="H107"/>
      <c r="I107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x14ac:dyDescent="0.25">
      <c r="A108"/>
      <c r="B108"/>
      <c r="C108"/>
      <c r="D108"/>
      <c r="E108"/>
      <c r="F108"/>
      <c r="G108"/>
      <c r="H108"/>
      <c r="I108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x14ac:dyDescent="0.25">
      <c r="A109"/>
      <c r="B109"/>
      <c r="C109"/>
      <c r="D109"/>
      <c r="E109"/>
      <c r="F109"/>
      <c r="G109"/>
      <c r="H109"/>
      <c r="I109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x14ac:dyDescent="0.25">
      <c r="A110"/>
      <c r="B110"/>
      <c r="C110"/>
      <c r="D110"/>
      <c r="E110"/>
      <c r="F110"/>
      <c r="G110"/>
      <c r="H110"/>
      <c r="I110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x14ac:dyDescent="0.25">
      <c r="A111"/>
      <c r="B111"/>
      <c r="C111"/>
      <c r="D111"/>
      <c r="E111"/>
      <c r="F111"/>
      <c r="G111"/>
      <c r="H111"/>
      <c r="I111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8" sqref="G18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85</v>
      </c>
      <c r="C1" t="s">
        <v>24</v>
      </c>
      <c r="D1" t="s">
        <v>21</v>
      </c>
      <c r="E1" t="s">
        <v>82</v>
      </c>
      <c r="F1" t="s">
        <v>83</v>
      </c>
      <c r="G1" t="s">
        <v>84</v>
      </c>
    </row>
    <row r="2" spans="1:7" x14ac:dyDescent="0.25">
      <c r="A2" t="s">
        <v>87</v>
      </c>
      <c r="B2" s="13" t="s">
        <v>86</v>
      </c>
      <c r="C2">
        <v>1.26166666666667</v>
      </c>
      <c r="D2">
        <v>9.1660083333333295E-2</v>
      </c>
      <c r="E2" s="1" t="s">
        <v>46</v>
      </c>
      <c r="F2" s="1">
        <f>C2*'Calibration Data'!$B$31+'Calibration Data'!$B$30</f>
        <v>0.16124056161188921</v>
      </c>
      <c r="G2" s="14">
        <f>'Calibration Data'!$B$20</f>
        <v>0.15745067498955981</v>
      </c>
    </row>
    <row r="3" spans="1:7" x14ac:dyDescent="0.25">
      <c r="A3" t="s">
        <v>88</v>
      </c>
      <c r="B3" s="13" t="s">
        <v>86</v>
      </c>
      <c r="C3">
        <v>1.5166666666666699</v>
      </c>
      <c r="D3">
        <v>0.10055500000000001</v>
      </c>
      <c r="E3" s="1" t="s">
        <v>46</v>
      </c>
      <c r="F3" s="1">
        <f>C3*'Calibration Data'!$B$31+'Calibration Data'!$B$30</f>
        <v>0.20183494674868374</v>
      </c>
      <c r="G3" s="14">
        <f>'Calibration Data'!$B$20</f>
        <v>0.15745067498955981</v>
      </c>
    </row>
    <row r="4" spans="1:7" x14ac:dyDescent="0.25">
      <c r="A4" t="s">
        <v>89</v>
      </c>
      <c r="B4" s="13" t="s">
        <v>86</v>
      </c>
      <c r="C4">
        <v>1.0974999999999999</v>
      </c>
      <c r="D4">
        <v>8.5550125000000005E-2</v>
      </c>
      <c r="E4" s="1" t="s">
        <v>46</v>
      </c>
      <c r="F4" s="1">
        <f>C4*'Calibration Data'!$B$31+'Calibration Data'!$B$30</f>
        <v>0.13510626791271049</v>
      </c>
      <c r="G4" s="14">
        <f>'Calibration Data'!$B$20</f>
        <v>0.15745067498955981</v>
      </c>
    </row>
    <row r="5" spans="1:7" x14ac:dyDescent="0.25">
      <c r="A5" t="s">
        <v>90</v>
      </c>
      <c r="B5" s="13" t="s">
        <v>86</v>
      </c>
      <c r="C5">
        <v>1.7083333333333299</v>
      </c>
      <c r="D5">
        <v>0.106770833333333</v>
      </c>
      <c r="E5" s="1" t="s">
        <v>46</v>
      </c>
      <c r="F5" s="1">
        <f>C5*'Calibration Data'!$B$31+'Calibration Data'!$B$30</f>
        <v>0.23234706629594654</v>
      </c>
      <c r="G5" s="14">
        <f>'Calibration Data'!$B$20</f>
        <v>0.15745067498955981</v>
      </c>
    </row>
    <row r="6" spans="1:7" x14ac:dyDescent="0.25">
      <c r="A6" t="s">
        <v>91</v>
      </c>
      <c r="B6" s="13" t="s">
        <v>86</v>
      </c>
      <c r="C6">
        <v>1.72</v>
      </c>
      <c r="D6">
        <v>0.10707</v>
      </c>
      <c r="E6" s="1" t="s">
        <v>46</v>
      </c>
      <c r="F6" s="1">
        <f>C6*'Calibration Data'!$B$31+'Calibration Data'!$B$30</f>
        <v>0.23420432574665007</v>
      </c>
      <c r="G6" s="14">
        <f>'Calibration Data'!$B$20</f>
        <v>0.15745067498955981</v>
      </c>
    </row>
    <row r="7" spans="1:7" x14ac:dyDescent="0.25">
      <c r="A7" t="s">
        <v>92</v>
      </c>
      <c r="B7" s="13" t="s">
        <v>86</v>
      </c>
      <c r="C7">
        <v>1.77</v>
      </c>
      <c r="D7">
        <v>0.108678</v>
      </c>
      <c r="E7" s="1" t="s">
        <v>46</v>
      </c>
      <c r="F7" s="1">
        <f>C7*'Calibration Data'!$B$31+'Calibration Data'!$B$30</f>
        <v>0.24216400910680591</v>
      </c>
      <c r="G7" s="14">
        <f>'Calibration Data'!$B$20</f>
        <v>0.15745067498955981</v>
      </c>
    </row>
    <row r="8" spans="1:7" ht="15.75" customHeight="1" x14ac:dyDescent="0.25">
      <c r="A8" t="s">
        <v>93</v>
      </c>
      <c r="B8" s="13" t="s">
        <v>86</v>
      </c>
      <c r="C8">
        <v>4.4233333333333302</v>
      </c>
      <c r="D8">
        <v>0.17184650000000001</v>
      </c>
      <c r="E8" s="1" t="s">
        <v>46</v>
      </c>
      <c r="F8" s="1">
        <f>C8*'Calibration Data'!$B$31+'Calibration Data'!$B$30</f>
        <v>0.66455787275240596</v>
      </c>
      <c r="G8" s="14">
        <f>'Calibration Data'!$B$20</f>
        <v>0.15745067498955981</v>
      </c>
    </row>
    <row r="9" spans="1:7" x14ac:dyDescent="0.25">
      <c r="A9" t="s">
        <v>94</v>
      </c>
      <c r="B9" s="13" t="s">
        <v>86</v>
      </c>
      <c r="C9">
        <v>3.9291666666666698</v>
      </c>
      <c r="D9">
        <v>0.16188166666666701</v>
      </c>
      <c r="E9" s="1" t="s">
        <v>46</v>
      </c>
      <c r="F9" s="1">
        <f>C9*'Calibration Data'!$B$31+'Calibration Data'!$B$30</f>
        <v>0.58588966887620064</v>
      </c>
      <c r="G9" s="14">
        <f>'Calibration Data'!$B$20</f>
        <v>0.15745067498955981</v>
      </c>
    </row>
    <row r="10" spans="1:7" x14ac:dyDescent="0.25">
      <c r="A10" t="s">
        <v>95</v>
      </c>
      <c r="B10" s="13" t="s">
        <v>86</v>
      </c>
      <c r="C10">
        <v>4.56666666666667</v>
      </c>
      <c r="D10">
        <v>0.174446666666667</v>
      </c>
      <c r="E10" s="1" t="s">
        <v>46</v>
      </c>
      <c r="F10" s="1">
        <f>C10*'Calibration Data'!$B$31+'Calibration Data'!$B$30</f>
        <v>0.68737563171818694</v>
      </c>
      <c r="G10" s="14">
        <f>'Calibration Data'!$B$20</f>
        <v>0.15745067498955981</v>
      </c>
    </row>
    <row r="11" spans="1:7" x14ac:dyDescent="0.25">
      <c r="A11" t="s">
        <v>96</v>
      </c>
      <c r="B11" s="13" t="s">
        <v>86</v>
      </c>
      <c r="C11">
        <v>8.1466666666666701</v>
      </c>
      <c r="D11">
        <v>0.23299466666666699</v>
      </c>
      <c r="E11" s="1" t="s">
        <v>46</v>
      </c>
      <c r="F11" s="1">
        <f>C11*'Calibration Data'!$B$31+'Calibration Data'!$B$30</f>
        <v>1.2572889603053417</v>
      </c>
      <c r="G11" s="14">
        <f>'Calibration Data'!$B$20</f>
        <v>0.15745067498955981</v>
      </c>
    </row>
    <row r="12" spans="1:7" x14ac:dyDescent="0.25">
      <c r="A12" t="s">
        <v>97</v>
      </c>
      <c r="B12" s="13" t="s">
        <v>86</v>
      </c>
      <c r="C12">
        <v>8.5108333333333306</v>
      </c>
      <c r="D12">
        <v>0.23830333333333301</v>
      </c>
      <c r="E12" s="1" t="s">
        <v>46</v>
      </c>
      <c r="F12" s="1">
        <f>C12*'Calibration Data'!$B$31+'Calibration Data'!$B$30</f>
        <v>1.3152619874451419</v>
      </c>
      <c r="G12" s="14">
        <f>'Calibration Data'!$B$20</f>
        <v>0.15745067498955981</v>
      </c>
    </row>
    <row r="13" spans="1:7" x14ac:dyDescent="0.25">
      <c r="A13" t="s">
        <v>98</v>
      </c>
      <c r="B13" s="13" t="s">
        <v>86</v>
      </c>
      <c r="C13">
        <v>7.7024999999999997</v>
      </c>
      <c r="D13">
        <v>0.22683862499999999</v>
      </c>
      <c r="E13" s="1" t="s">
        <v>46</v>
      </c>
      <c r="F13" s="1">
        <f>C13*'Calibration Data'!$B$31+'Calibration Data'!$B$30</f>
        <v>1.1865804397892903</v>
      </c>
      <c r="G13" s="14">
        <f>'Calibration Data'!$B$20</f>
        <v>0.15745067498955981</v>
      </c>
    </row>
    <row r="14" spans="1:7" x14ac:dyDescent="0.25">
      <c r="A14" t="s">
        <v>99</v>
      </c>
      <c r="B14" s="13" t="s">
        <v>86</v>
      </c>
      <c r="C14">
        <v>18.642499999999998</v>
      </c>
      <c r="D14">
        <v>0.353275375</v>
      </c>
      <c r="E14" s="1" t="s">
        <v>46</v>
      </c>
      <c r="F14" s="1">
        <f>C14*'Calibration Data'!$B$31+'Calibration Data'!$B$30</f>
        <v>2.9281591589913774</v>
      </c>
      <c r="G14" s="14">
        <f>'Calibration Data'!$B$20</f>
        <v>0.15745067498955981</v>
      </c>
    </row>
    <row r="15" spans="1:7" x14ac:dyDescent="0.25">
      <c r="A15" t="s">
        <v>100</v>
      </c>
      <c r="B15" s="13" t="s">
        <v>86</v>
      </c>
      <c r="C15">
        <v>17.956666666666699</v>
      </c>
      <c r="D15">
        <v>0.34566583333333301</v>
      </c>
      <c r="E15" s="1" t="s">
        <v>46</v>
      </c>
      <c r="F15" s="1">
        <f>C15*'Calibration Data'!$B$31+'Calibration Data'!$B$30</f>
        <v>2.8189788355679122</v>
      </c>
      <c r="G15" s="14">
        <f>'Calibration Data'!$B$20</f>
        <v>0.15745067498955981</v>
      </c>
    </row>
    <row r="16" spans="1:7" x14ac:dyDescent="0.25">
      <c r="A16" t="s">
        <v>101</v>
      </c>
      <c r="B16" s="13" t="s">
        <v>86</v>
      </c>
      <c r="C16">
        <v>19.965</v>
      </c>
      <c r="D16">
        <v>0.36436125000000003</v>
      </c>
      <c r="E16" s="1" t="s">
        <v>46</v>
      </c>
      <c r="F16" s="1">
        <f>C16*'Calibration Data'!$B$31+'Calibration Data'!$B$30</f>
        <v>3.1386927838674983</v>
      </c>
      <c r="G16" s="14">
        <f>'Calibration Data'!$B$20</f>
        <v>0.15745067498955981</v>
      </c>
    </row>
    <row r="17" spans="1:7" x14ac:dyDescent="0.25">
      <c r="A17" t="s">
        <v>102</v>
      </c>
      <c r="B17" s="13" t="s">
        <v>86</v>
      </c>
      <c r="C17">
        <v>39.908333333333303</v>
      </c>
      <c r="D17">
        <v>0.51681291666666695</v>
      </c>
      <c r="E17" s="1" t="s">
        <v>46</v>
      </c>
      <c r="F17" s="1">
        <f>C17*'Calibration Data'!$B$31+'Calibration Data'!$B$30</f>
        <v>6.3135451534549665</v>
      </c>
      <c r="G17" s="14">
        <f>'Calibration Data'!$B$20</f>
        <v>0.15745067498955981</v>
      </c>
    </row>
    <row r="18" spans="1:7" x14ac:dyDescent="0.25">
      <c r="A18" t="s">
        <v>103</v>
      </c>
      <c r="B18" s="13" t="s">
        <v>86</v>
      </c>
      <c r="C18">
        <v>36.14</v>
      </c>
      <c r="D18">
        <v>0.491504</v>
      </c>
      <c r="E18" s="1" t="s">
        <v>46</v>
      </c>
      <c r="F18" s="1">
        <f>C18*'Calibration Data'!$B$31+'Calibration Data'!$B$30</f>
        <v>5.7136503508778969</v>
      </c>
      <c r="G18" s="14">
        <f>'Calibration Data'!$B$20</f>
        <v>0.15745067498955981</v>
      </c>
    </row>
    <row r="19" spans="1:7" x14ac:dyDescent="0.25">
      <c r="A19" t="s">
        <v>104</v>
      </c>
      <c r="B19" s="13" t="s">
        <v>86</v>
      </c>
      <c r="C19">
        <v>38.994999999999997</v>
      </c>
      <c r="D19">
        <v>0.51083449999999997</v>
      </c>
      <c r="E19" s="1" t="s">
        <v>46</v>
      </c>
      <c r="F19" s="1">
        <f>C19*'Calibration Data'!$B$31+'Calibration Data'!$B$30</f>
        <v>6.1681482707427913</v>
      </c>
      <c r="G19" s="14">
        <f>'Calibration Data'!$B$20</f>
        <v>0.15745067498955981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9" sqref="J19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1.28515625" bestFit="1" customWidth="1"/>
    <col min="14" max="14" width="12.42578125" bestFit="1" customWidth="1"/>
    <col min="15" max="15" width="16.85546875" bestFit="1" customWidth="1"/>
    <col min="16" max="16" width="18.140625" bestFit="1" customWidth="1"/>
    <col min="17" max="17" width="9" bestFit="1" customWidth="1"/>
    <col min="18" max="18" width="10.140625" bestFit="1" customWidth="1"/>
    <col min="19" max="19" width="13.140625" bestFit="1" customWidth="1"/>
    <col min="20" max="20" width="14.28515625" bestFit="1" customWidth="1"/>
  </cols>
  <sheetData>
    <row r="1" spans="1:20" x14ac:dyDescent="0.25">
      <c r="A1" t="s">
        <v>10</v>
      </c>
      <c r="B1" t="s">
        <v>28</v>
      </c>
      <c r="C1" t="s">
        <v>29</v>
      </c>
      <c r="D1" t="s">
        <v>12</v>
      </c>
      <c r="E1" t="s">
        <v>26</v>
      </c>
      <c r="F1" t="s">
        <v>27</v>
      </c>
      <c r="G1" t="s">
        <v>78</v>
      </c>
      <c r="H1" t="s">
        <v>79</v>
      </c>
      <c r="I1" t="s">
        <v>76</v>
      </c>
      <c r="J1" t="s">
        <v>77</v>
      </c>
      <c r="K1" t="s">
        <v>80</v>
      </c>
      <c r="L1" t="s">
        <v>81</v>
      </c>
      <c r="M1" t="s">
        <v>30</v>
      </c>
      <c r="N1" t="s">
        <v>31</v>
      </c>
      <c r="O1" t="s">
        <v>34</v>
      </c>
      <c r="P1" t="s">
        <v>35</v>
      </c>
      <c r="Q1" t="s">
        <v>32</v>
      </c>
      <c r="R1" t="s">
        <v>33</v>
      </c>
      <c r="S1" t="s">
        <v>109</v>
      </c>
      <c r="T1" t="s">
        <v>113</v>
      </c>
    </row>
    <row r="2" spans="1:20" x14ac:dyDescent="0.25">
      <c r="A2" t="s">
        <v>87</v>
      </c>
      <c r="B2">
        <v>0</v>
      </c>
      <c r="C2">
        <v>0</v>
      </c>
      <c r="D2" s="1">
        <v>3</v>
      </c>
      <c r="E2" s="1">
        <v>0.03</v>
      </c>
      <c r="F2" s="1">
        <v>1E-3</v>
      </c>
      <c r="G2" s="1">
        <v>100</v>
      </c>
      <c r="H2" s="1">
        <v>5</v>
      </c>
      <c r="I2" s="1">
        <f>'Count-&gt;Actual Activity'!F2</f>
        <v>0.16124056161188921</v>
      </c>
      <c r="J2" s="1">
        <f>'Count-&gt;Actual Activity'!G2</f>
        <v>0.15745067498955981</v>
      </c>
      <c r="K2" s="1">
        <v>10</v>
      </c>
      <c r="L2" s="1">
        <v>0.01</v>
      </c>
      <c r="M2">
        <f t="shared" ref="M2:M19" si="0">I2/K2</f>
        <v>1.6124056161188921E-2</v>
      </c>
      <c r="N2">
        <f t="shared" ref="N2:N19" si="1">SQRT((L2/K2)^2+(J2/I2)^2)*M2</f>
        <v>1.5745075755037415E-2</v>
      </c>
      <c r="O2">
        <f>B2*Parameters!$B$6</f>
        <v>0</v>
      </c>
      <c r="P2" t="e">
        <f>SQRT((C2/B2)^2+(Parameters!$C$6/Parameters!$B$6)^2)*'Bottle Results'!O2</f>
        <v>#DIV/0!</v>
      </c>
      <c r="Q2">
        <f t="shared" ref="Q2:Q19" si="2">(O2-M2*G2)/E2</f>
        <v>-53.746853870629742</v>
      </c>
      <c r="S2" t="e">
        <f t="shared" ref="S2:S19" si="3">(O2-M2*G2)/O2</f>
        <v>#DIV/0!</v>
      </c>
    </row>
    <row r="3" spans="1:20" x14ac:dyDescent="0.25">
      <c r="A3" t="s">
        <v>88</v>
      </c>
      <c r="B3">
        <v>0</v>
      </c>
      <c r="C3">
        <v>0</v>
      </c>
      <c r="D3" s="1">
        <v>3</v>
      </c>
      <c r="E3" s="1">
        <v>3.09E-2</v>
      </c>
      <c r="F3" s="1">
        <v>1E-4</v>
      </c>
      <c r="G3" s="1">
        <v>100</v>
      </c>
      <c r="H3" s="1">
        <v>5</v>
      </c>
      <c r="I3" s="1">
        <f>'Count-&gt;Actual Activity'!F3</f>
        <v>0.20183494674868374</v>
      </c>
      <c r="J3" s="1">
        <f>'Count-&gt;Actual Activity'!G3</f>
        <v>0.15745067498955981</v>
      </c>
      <c r="K3" s="1">
        <v>10</v>
      </c>
      <c r="L3" s="1">
        <v>0.01</v>
      </c>
      <c r="M3">
        <f t="shared" si="0"/>
        <v>2.0183494674868373E-2</v>
      </c>
      <c r="N3">
        <f t="shared" si="1"/>
        <v>1.5745080435492772E-2</v>
      </c>
      <c r="O3">
        <f>B3*Parameters!$B$6</f>
        <v>0</v>
      </c>
      <c r="P3" t="e">
        <f>SQRT((C3/B3)^2+(Parameters!$C$6/Parameters!$B$6)^2)*'Bottle Results'!O3</f>
        <v>#DIV/0!</v>
      </c>
      <c r="Q3">
        <f t="shared" si="2"/>
        <v>-65.31875299310154</v>
      </c>
      <c r="S3" t="e">
        <f t="shared" si="3"/>
        <v>#DIV/0!</v>
      </c>
    </row>
    <row r="4" spans="1:20" x14ac:dyDescent="0.25">
      <c r="A4" t="s">
        <v>89</v>
      </c>
      <c r="B4">
        <v>0</v>
      </c>
      <c r="C4">
        <v>0</v>
      </c>
      <c r="D4" s="1">
        <v>3</v>
      </c>
      <c r="E4" s="1">
        <v>2.9700000000000001E-2</v>
      </c>
      <c r="F4" s="1">
        <v>1E-4</v>
      </c>
      <c r="G4" s="1">
        <v>100</v>
      </c>
      <c r="H4" s="1">
        <v>5</v>
      </c>
      <c r="I4" s="1">
        <f>'Count-&gt;Actual Activity'!F4</f>
        <v>0.13510626791271049</v>
      </c>
      <c r="J4" s="1">
        <f>'Count-&gt;Actual Activity'!G4</f>
        <v>0.15745067498955981</v>
      </c>
      <c r="K4" s="1">
        <v>5</v>
      </c>
      <c r="L4" s="1">
        <v>0.01</v>
      </c>
      <c r="M4">
        <f t="shared" si="0"/>
        <v>2.70212535825421E-2</v>
      </c>
      <c r="N4">
        <f t="shared" si="1"/>
        <v>3.1490181371013101E-2</v>
      </c>
      <c r="O4">
        <f>B4*Parameters!$B$6</f>
        <v>0</v>
      </c>
      <c r="P4" t="e">
        <f>SQRT((C4/B4)^2+(Parameters!$C$6/Parameters!$B$6)^2)*'Bottle Results'!O4</f>
        <v>#DIV/0!</v>
      </c>
      <c r="Q4">
        <f t="shared" si="2"/>
        <v>-90.980651793071047</v>
      </c>
      <c r="S4" t="e">
        <f t="shared" si="3"/>
        <v>#DIV/0!</v>
      </c>
    </row>
    <row r="5" spans="1:20" x14ac:dyDescent="0.25">
      <c r="A5" t="s">
        <v>90</v>
      </c>
      <c r="B5">
        <v>1.5800000000000002E-2</v>
      </c>
      <c r="C5">
        <v>1E-4</v>
      </c>
      <c r="D5" s="1">
        <v>3</v>
      </c>
      <c r="E5" s="1">
        <v>3.0599999999999999E-2</v>
      </c>
      <c r="F5" s="1">
        <v>1E-4</v>
      </c>
      <c r="G5" s="1">
        <v>100</v>
      </c>
      <c r="H5" s="1">
        <v>5</v>
      </c>
      <c r="I5" s="1">
        <f>'Count-&gt;Actual Activity'!F5</f>
        <v>0.23234706629594654</v>
      </c>
      <c r="J5" s="1">
        <f>'Count-&gt;Actual Activity'!G5</f>
        <v>0.15745067498955981</v>
      </c>
      <c r="K5" s="1">
        <v>5</v>
      </c>
      <c r="L5" s="1">
        <v>0.01</v>
      </c>
      <c r="M5">
        <f t="shared" si="0"/>
        <v>4.646941325918931E-2</v>
      </c>
      <c r="N5">
        <f t="shared" si="1"/>
        <v>3.1490272145730885E-2</v>
      </c>
      <c r="O5">
        <f>B5*Parameters!$B$6</f>
        <v>7.4534297107408278</v>
      </c>
      <c r="P5">
        <f>SQRT((C5/B5)^2+(Parameters!$C$6/Parameters!$B$6)^2)*'Bottle Results'!O5</f>
        <v>5.9989159322257707E-2</v>
      </c>
      <c r="Q5">
        <f t="shared" si="2"/>
        <v>91.715306693526045</v>
      </c>
      <c r="S5">
        <f t="shared" si="3"/>
        <v>0.37653650651291221</v>
      </c>
    </row>
    <row r="6" spans="1:20" x14ac:dyDescent="0.25">
      <c r="A6" t="s">
        <v>91</v>
      </c>
      <c r="B6">
        <v>1.5800000000000002E-2</v>
      </c>
      <c r="C6">
        <v>1E-4</v>
      </c>
      <c r="D6" s="1">
        <v>3</v>
      </c>
      <c r="E6" s="1">
        <v>2.98E-2</v>
      </c>
      <c r="F6" s="1">
        <v>1E-4</v>
      </c>
      <c r="G6" s="1">
        <v>100</v>
      </c>
      <c r="H6" s="1">
        <v>5</v>
      </c>
      <c r="I6" s="1">
        <f>'Count-&gt;Actual Activity'!F6</f>
        <v>0.23420432574665007</v>
      </c>
      <c r="J6" s="1">
        <f>'Count-&gt;Actual Activity'!G6</f>
        <v>0.15745067498955981</v>
      </c>
      <c r="K6" s="1">
        <v>5</v>
      </c>
      <c r="L6" s="1">
        <v>0.01</v>
      </c>
      <c r="M6">
        <f t="shared" si="0"/>
        <v>4.6840865149330016E-2</v>
      </c>
      <c r="N6">
        <f t="shared" si="1"/>
        <v>3.149027434706328E-2</v>
      </c>
      <c r="O6">
        <f>B6*Parameters!$B$6</f>
        <v>7.4534297107408278</v>
      </c>
      <c r="P6">
        <f>SQRT((C6/B6)^2+(Parameters!$C$6/Parameters!$B$6)^2)*'Bottle Results'!O6</f>
        <v>5.9989159322257707E-2</v>
      </c>
      <c r="Q6">
        <f t="shared" si="2"/>
        <v>92.930979725094829</v>
      </c>
      <c r="S6">
        <f t="shared" si="3"/>
        <v>0.37155286938804033</v>
      </c>
    </row>
    <row r="7" spans="1:20" x14ac:dyDescent="0.25">
      <c r="A7" t="s">
        <v>92</v>
      </c>
      <c r="B7">
        <v>1.5800000000000002E-2</v>
      </c>
      <c r="C7">
        <v>1E-4</v>
      </c>
      <c r="D7" s="1">
        <v>3</v>
      </c>
      <c r="E7" s="1">
        <v>3.0599999999999999E-2</v>
      </c>
      <c r="F7" s="1">
        <v>1E-4</v>
      </c>
      <c r="G7" s="1">
        <v>100</v>
      </c>
      <c r="H7" s="1">
        <v>5</v>
      </c>
      <c r="I7" s="1">
        <f>'Count-&gt;Actual Activity'!F7</f>
        <v>0.24216400910680591</v>
      </c>
      <c r="J7" s="1">
        <f>'Count-&gt;Actual Activity'!G7</f>
        <v>0.15745067498955981</v>
      </c>
      <c r="K7" s="1">
        <v>5</v>
      </c>
      <c r="L7" s="1">
        <v>0.01</v>
      </c>
      <c r="M7">
        <f t="shared" si="0"/>
        <v>4.8432801821361185E-2</v>
      </c>
      <c r="N7">
        <f t="shared" si="1"/>
        <v>3.1490283979854629E-2</v>
      </c>
      <c r="O7">
        <f>B7*Parameters!$B$6</f>
        <v>7.4534297107408278</v>
      </c>
      <c r="P7">
        <f>SQRT((C7/B7)^2+(Parameters!$C$6/Parameters!$B$6)^2)*'Bottle Results'!O7</f>
        <v>5.9989159322257707E-2</v>
      </c>
      <c r="Q7">
        <f t="shared" si="2"/>
        <v>85.299004202768273</v>
      </c>
      <c r="S7">
        <f t="shared" si="3"/>
        <v>0.35019442456716687</v>
      </c>
    </row>
    <row r="8" spans="1:20" ht="15.75" customHeight="1" x14ac:dyDescent="0.25">
      <c r="A8" t="s">
        <v>93</v>
      </c>
      <c r="B8">
        <v>7.9200000000000007E-2</v>
      </c>
      <c r="C8">
        <v>1E-4</v>
      </c>
      <c r="D8" s="1">
        <v>3.01</v>
      </c>
      <c r="E8" s="1">
        <v>2.98E-2</v>
      </c>
      <c r="F8" s="1">
        <v>1E-4</v>
      </c>
      <c r="G8" s="1">
        <v>100</v>
      </c>
      <c r="H8" s="1">
        <v>5</v>
      </c>
      <c r="I8" s="1">
        <f>'Count-&gt;Actual Activity'!F8</f>
        <v>0.66455787275240596</v>
      </c>
      <c r="J8" s="1">
        <f>'Count-&gt;Actual Activity'!G8</f>
        <v>0.15745067498955981</v>
      </c>
      <c r="K8" s="1">
        <v>5</v>
      </c>
      <c r="L8" s="1">
        <v>0.01</v>
      </c>
      <c r="M8">
        <f t="shared" si="0"/>
        <v>0.13291157455048119</v>
      </c>
      <c r="N8">
        <f t="shared" si="1"/>
        <v>3.1491256947497631E-2</v>
      </c>
      <c r="O8">
        <f>B8*Parameters!$B$6</f>
        <v>37.361495765232505</v>
      </c>
      <c r="P8">
        <f>SQRT((C8/B8)^2+(Parameters!$C$6/Parameters!$B$6)^2)*'Bottle Results'!O8</f>
        <v>0.19165898051079078</v>
      </c>
      <c r="Q8">
        <f t="shared" si="2"/>
        <v>807.72947349612036</v>
      </c>
      <c r="S8">
        <f t="shared" si="3"/>
        <v>0.64425521026873678</v>
      </c>
    </row>
    <row r="9" spans="1:20" x14ac:dyDescent="0.25">
      <c r="A9" t="s">
        <v>94</v>
      </c>
      <c r="B9">
        <v>7.9200000000000007E-2</v>
      </c>
      <c r="C9">
        <v>1E-4</v>
      </c>
      <c r="D9" s="1">
        <v>3</v>
      </c>
      <c r="E9" s="1">
        <v>3.0099999999999998E-2</v>
      </c>
      <c r="F9" s="1">
        <v>1E-4</v>
      </c>
      <c r="G9" s="1">
        <v>100</v>
      </c>
      <c r="H9" s="1">
        <v>5</v>
      </c>
      <c r="I9" s="1">
        <f>'Count-&gt;Actual Activity'!F9</f>
        <v>0.58588966887620064</v>
      </c>
      <c r="J9" s="1">
        <f>'Count-&gt;Actual Activity'!G9</f>
        <v>0.15745067498955981</v>
      </c>
      <c r="K9" s="1">
        <v>5</v>
      </c>
      <c r="L9" s="1">
        <v>0.01</v>
      </c>
      <c r="M9">
        <f t="shared" si="0"/>
        <v>0.11717793377524013</v>
      </c>
      <c r="N9">
        <f t="shared" si="1"/>
        <v>3.1491007047399662E-2</v>
      </c>
      <c r="O9">
        <f>B9*Parameters!$B$6</f>
        <v>37.361495765232505</v>
      </c>
      <c r="P9">
        <f>SQRT((C9/B9)^2+(Parameters!$C$6/Parameters!$B$6)^2)*'Bottle Results'!O9</f>
        <v>0.19165898051079078</v>
      </c>
      <c r="Q9">
        <f t="shared" si="2"/>
        <v>851.95024543882028</v>
      </c>
      <c r="S9">
        <f t="shared" si="3"/>
        <v>0.68636712375878051</v>
      </c>
    </row>
    <row r="10" spans="1:20" x14ac:dyDescent="0.25">
      <c r="A10" t="s">
        <v>95</v>
      </c>
      <c r="B10">
        <v>7.9200000000000007E-2</v>
      </c>
      <c r="C10">
        <v>1E-4</v>
      </c>
      <c r="D10" s="1">
        <v>3</v>
      </c>
      <c r="E10" s="1">
        <v>3.0099999999999998E-2</v>
      </c>
      <c r="F10" s="1">
        <v>1E-4</v>
      </c>
      <c r="G10" s="1">
        <v>100</v>
      </c>
      <c r="H10" s="1">
        <v>5</v>
      </c>
      <c r="I10" s="1">
        <f>'Count-&gt;Actual Activity'!F10</f>
        <v>0.68737563171818694</v>
      </c>
      <c r="J10" s="1">
        <f>'Count-&gt;Actual Activity'!G10</f>
        <v>0.15745067498955981</v>
      </c>
      <c r="K10" s="1">
        <v>5</v>
      </c>
      <c r="L10" s="1">
        <v>0.01</v>
      </c>
      <c r="M10">
        <f t="shared" si="0"/>
        <v>0.1374751263436374</v>
      </c>
      <c r="N10">
        <f t="shared" si="1"/>
        <v>3.1491335313513981E-2</v>
      </c>
      <c r="O10">
        <f>B10*Parameters!$B$6</f>
        <v>37.361495765232505</v>
      </c>
      <c r="P10">
        <f>SQRT((C10/B10)^2+(Parameters!$C$6/Parameters!$B$6)^2)*'Bottle Results'!O10</f>
        <v>0.19165898051079078</v>
      </c>
      <c r="Q10">
        <f t="shared" si="2"/>
        <v>784.51771198899553</v>
      </c>
      <c r="S10">
        <f t="shared" si="3"/>
        <v>0.63204062490568791</v>
      </c>
    </row>
    <row r="11" spans="1:20" x14ac:dyDescent="0.25">
      <c r="A11" t="s">
        <v>96</v>
      </c>
      <c r="B11">
        <v>0.158</v>
      </c>
      <c r="C11">
        <v>1E-3</v>
      </c>
      <c r="D11" s="1">
        <v>3</v>
      </c>
      <c r="E11" s="1">
        <v>2.98E-2</v>
      </c>
      <c r="F11" s="1">
        <v>1E-4</v>
      </c>
      <c r="G11" s="1">
        <v>100</v>
      </c>
      <c r="H11" s="1">
        <v>5</v>
      </c>
      <c r="I11" s="1">
        <f>'Count-&gt;Actual Activity'!F11</f>
        <v>1.2572889603053417</v>
      </c>
      <c r="J11" s="1">
        <f>'Count-&gt;Actual Activity'!G11</f>
        <v>0.15745067498955981</v>
      </c>
      <c r="K11" s="1">
        <v>5</v>
      </c>
      <c r="L11" s="1">
        <v>0.01</v>
      </c>
      <c r="M11">
        <f t="shared" si="0"/>
        <v>0.25145779206106833</v>
      </c>
      <c r="N11">
        <f t="shared" si="1"/>
        <v>3.1494150667567979E-2</v>
      </c>
      <c r="O11">
        <f>B11*Parameters!$B$6</f>
        <v>74.534297107408278</v>
      </c>
      <c r="P11">
        <f>SQRT((C11/B11)^2+(Parameters!$C$6/Parameters!$B$6)^2)*'Bottle Results'!O11</f>
        <v>0.59989159322257712</v>
      </c>
      <c r="Q11">
        <f t="shared" si="2"/>
        <v>1657.3328154799142</v>
      </c>
      <c r="S11">
        <f t="shared" si="3"/>
        <v>0.66262807617451203</v>
      </c>
    </row>
    <row r="12" spans="1:20" x14ac:dyDescent="0.25">
      <c r="A12" t="s">
        <v>97</v>
      </c>
      <c r="B12">
        <v>0.158</v>
      </c>
      <c r="C12">
        <v>1E-3</v>
      </c>
      <c r="D12" s="1">
        <v>3</v>
      </c>
      <c r="E12" s="1">
        <v>0.03</v>
      </c>
      <c r="F12" s="1">
        <v>1E-3</v>
      </c>
      <c r="G12" s="1">
        <v>100</v>
      </c>
      <c r="H12" s="1">
        <v>5</v>
      </c>
      <c r="I12" s="1">
        <f>'Count-&gt;Actual Activity'!F12</f>
        <v>1.3152619874451419</v>
      </c>
      <c r="J12" s="1">
        <f>'Count-&gt;Actual Activity'!G12</f>
        <v>0.15745067498955981</v>
      </c>
      <c r="K12" s="1">
        <v>5</v>
      </c>
      <c r="L12" s="1">
        <v>0.01</v>
      </c>
      <c r="M12">
        <f t="shared" si="0"/>
        <v>0.26305239748902837</v>
      </c>
      <c r="N12">
        <f t="shared" si="1"/>
        <v>3.1494529500248433E-2</v>
      </c>
      <c r="O12">
        <f>B12*Parameters!$B$6</f>
        <v>74.534297107408278</v>
      </c>
      <c r="P12">
        <f>SQRT((C12/B12)^2+(Parameters!$C$6/Parameters!$B$6)^2)*'Bottle Results'!O12</f>
        <v>0.59989159322257712</v>
      </c>
      <c r="Q12">
        <f t="shared" si="2"/>
        <v>1607.6352452835149</v>
      </c>
      <c r="S12">
        <f t="shared" si="3"/>
        <v>0.64707200886330962</v>
      </c>
    </row>
    <row r="13" spans="1:20" x14ac:dyDescent="0.25">
      <c r="A13" t="s">
        <v>98</v>
      </c>
      <c r="B13">
        <v>0.158</v>
      </c>
      <c r="C13">
        <v>1E-3</v>
      </c>
      <c r="D13" s="1">
        <v>2.99</v>
      </c>
      <c r="E13" s="1">
        <v>2.9600000000000001E-2</v>
      </c>
      <c r="F13" s="1">
        <v>1E-4</v>
      </c>
      <c r="G13" s="1">
        <v>100</v>
      </c>
      <c r="H13" s="1">
        <v>5</v>
      </c>
      <c r="I13" s="1">
        <f>'Count-&gt;Actual Activity'!F13</f>
        <v>1.1865804397892903</v>
      </c>
      <c r="J13" s="1">
        <f>'Count-&gt;Actual Activity'!G13</f>
        <v>0.15745067498955981</v>
      </c>
      <c r="K13" s="1">
        <v>5</v>
      </c>
      <c r="L13" s="1">
        <v>0.01</v>
      </c>
      <c r="M13">
        <f t="shared" si="0"/>
        <v>0.23731608795785805</v>
      </c>
      <c r="N13">
        <f t="shared" si="1"/>
        <v>3.1493711719788355E-2</v>
      </c>
      <c r="O13">
        <f>B13*Parameters!$B$6</f>
        <v>74.534297107408278</v>
      </c>
      <c r="P13">
        <f>SQRT((C13/B13)^2+(Parameters!$C$6/Parameters!$B$6)^2)*'Bottle Results'!O13</f>
        <v>0.59989159322257712</v>
      </c>
      <c r="Q13">
        <f t="shared" si="2"/>
        <v>1716.3070375548132</v>
      </c>
      <c r="S13">
        <f t="shared" si="3"/>
        <v>0.68160149465705477</v>
      </c>
    </row>
    <row r="14" spans="1:20" x14ac:dyDescent="0.25">
      <c r="A14" t="s">
        <v>99</v>
      </c>
      <c r="B14">
        <v>0.39600000000000002</v>
      </c>
      <c r="C14">
        <v>1E-3</v>
      </c>
      <c r="D14" s="1">
        <v>2.99</v>
      </c>
      <c r="E14" s="1">
        <v>3.0300000000000001E-2</v>
      </c>
      <c r="F14" s="1">
        <v>1E-4</v>
      </c>
      <c r="G14" s="1">
        <v>100</v>
      </c>
      <c r="H14" s="1">
        <v>5</v>
      </c>
      <c r="I14" s="1">
        <f>'Count-&gt;Actual Activity'!F14</f>
        <v>2.9281591589913774</v>
      </c>
      <c r="J14" s="1">
        <f>'Count-&gt;Actual Activity'!G14</f>
        <v>0.15745067498955981</v>
      </c>
      <c r="K14" s="1">
        <v>5</v>
      </c>
      <c r="L14" s="1">
        <v>0.01</v>
      </c>
      <c r="M14">
        <f t="shared" si="0"/>
        <v>0.58563183179827549</v>
      </c>
      <c r="N14">
        <f t="shared" si="1"/>
        <v>3.151190982400752E-2</v>
      </c>
      <c r="O14">
        <f>B14*Parameters!$B$6</f>
        <v>186.80747882616251</v>
      </c>
      <c r="P14">
        <f>SQRT((C14/B14)^2+(Parameters!$C$6/Parameters!$B$6)^2)*'Bottle Results'!O14</f>
        <v>1.041743875105815</v>
      </c>
      <c r="Q14">
        <f t="shared" si="2"/>
        <v>4232.4850048295366</v>
      </c>
      <c r="S14">
        <f t="shared" si="3"/>
        <v>0.68650514664712803</v>
      </c>
    </row>
    <row r="15" spans="1:20" x14ac:dyDescent="0.25">
      <c r="A15" t="s">
        <v>100</v>
      </c>
      <c r="B15">
        <v>0.39600000000000002</v>
      </c>
      <c r="C15">
        <v>1E-3</v>
      </c>
      <c r="D15" s="1">
        <v>3</v>
      </c>
      <c r="E15" s="1">
        <v>3.1099999999999999E-2</v>
      </c>
      <c r="F15" s="1">
        <v>1E-4</v>
      </c>
      <c r="G15" s="1">
        <v>100</v>
      </c>
      <c r="H15" s="1">
        <v>5</v>
      </c>
      <c r="I15" s="1">
        <f>'Count-&gt;Actual Activity'!F15</f>
        <v>2.8189788355679122</v>
      </c>
      <c r="J15" s="1">
        <f>'Count-&gt;Actual Activity'!G15</f>
        <v>0.15745067498955981</v>
      </c>
      <c r="K15" s="1">
        <v>5</v>
      </c>
      <c r="L15" s="1">
        <v>0.01</v>
      </c>
      <c r="M15">
        <f t="shared" si="0"/>
        <v>0.56379576711358248</v>
      </c>
      <c r="N15">
        <f t="shared" si="1"/>
        <v>3.1510316800292267E-2</v>
      </c>
      <c r="O15">
        <f>B15*Parameters!$B$6</f>
        <v>186.80747882616251</v>
      </c>
      <c r="P15">
        <f>SQRT((C15/B15)^2+(Parameters!$C$6/Parameters!$B$6)^2)*'Bottle Results'!O15</f>
        <v>1.041743875105815</v>
      </c>
      <c r="Q15">
        <f t="shared" si="2"/>
        <v>4193.8232191255393</v>
      </c>
      <c r="S15">
        <f t="shared" si="3"/>
        <v>0.69819422077943993</v>
      </c>
    </row>
    <row r="16" spans="1:20" x14ac:dyDescent="0.25">
      <c r="A16" t="s">
        <v>101</v>
      </c>
      <c r="B16">
        <v>0.39600000000000002</v>
      </c>
      <c r="C16">
        <v>1E-3</v>
      </c>
      <c r="D16" s="1">
        <v>3</v>
      </c>
      <c r="E16" s="1">
        <v>2.93E-2</v>
      </c>
      <c r="F16" s="1">
        <v>1E-4</v>
      </c>
      <c r="G16" s="1">
        <v>100</v>
      </c>
      <c r="H16" s="1">
        <v>5</v>
      </c>
      <c r="I16" s="1">
        <f>'Count-&gt;Actual Activity'!F16</f>
        <v>3.1386927838674983</v>
      </c>
      <c r="J16" s="1">
        <f>'Count-&gt;Actual Activity'!G16</f>
        <v>0.15745067498955981</v>
      </c>
      <c r="K16" s="1">
        <v>5</v>
      </c>
      <c r="L16" s="1">
        <v>0.01</v>
      </c>
      <c r="M16">
        <f t="shared" si="0"/>
        <v>0.62773855677349966</v>
      </c>
      <c r="N16">
        <f t="shared" si="1"/>
        <v>3.1515152307570404E-2</v>
      </c>
      <c r="O16">
        <f>B16*Parameters!$B$6</f>
        <v>186.80747882616251</v>
      </c>
      <c r="P16">
        <f>SQRT((C16/B16)^2+(Parameters!$C$6/Parameters!$B$6)^2)*'Bottle Results'!O16</f>
        <v>1.041743875105815</v>
      </c>
      <c r="Q16">
        <f t="shared" si="2"/>
        <v>4233.2294590038418</v>
      </c>
      <c r="S16">
        <f t="shared" si="3"/>
        <v>0.66396497575043323</v>
      </c>
    </row>
    <row r="17" spans="1:19" x14ac:dyDescent="0.25">
      <c r="A17" t="s">
        <v>102</v>
      </c>
      <c r="B17">
        <v>0.79200000000000004</v>
      </c>
      <c r="C17">
        <v>1E-3</v>
      </c>
      <c r="D17" s="1">
        <v>3</v>
      </c>
      <c r="E17" s="1">
        <v>2.9700000000000001E-2</v>
      </c>
      <c r="F17" s="1">
        <v>1E-4</v>
      </c>
      <c r="G17" s="1">
        <v>100</v>
      </c>
      <c r="H17" s="1">
        <v>5</v>
      </c>
      <c r="I17" s="1">
        <f>'Count-&gt;Actual Activity'!F17</f>
        <v>6.3135451534549665</v>
      </c>
      <c r="J17" s="1">
        <f>'Count-&gt;Actual Activity'!G17</f>
        <v>0.15745067498955981</v>
      </c>
      <c r="K17" s="1">
        <v>5</v>
      </c>
      <c r="L17" s="1">
        <v>0.01</v>
      </c>
      <c r="M17">
        <f t="shared" si="0"/>
        <v>1.2627090306909934</v>
      </c>
      <c r="N17">
        <f t="shared" si="1"/>
        <v>3.1591238319690386E-2</v>
      </c>
      <c r="O17">
        <f>B17*Parameters!$B$6</f>
        <v>373.61495765232502</v>
      </c>
      <c r="P17">
        <f>SQRT((C17/B17)^2+(Parameters!$C$6/Parameters!$B$6)^2)*'Bottle Results'!O17</f>
        <v>1.9165898051079078</v>
      </c>
      <c r="Q17">
        <f t="shared" si="2"/>
        <v>8328.0826458998545</v>
      </c>
      <c r="S17">
        <f t="shared" si="3"/>
        <v>0.66202931525401265</v>
      </c>
    </row>
    <row r="18" spans="1:19" x14ac:dyDescent="0.25">
      <c r="A18" t="s">
        <v>103</v>
      </c>
      <c r="B18">
        <v>0.79200000000000004</v>
      </c>
      <c r="C18">
        <v>1E-3</v>
      </c>
      <c r="D18" s="1">
        <v>2.99</v>
      </c>
      <c r="E18" s="1">
        <v>3.0300000000000001E-2</v>
      </c>
      <c r="F18" s="1">
        <v>1E-4</v>
      </c>
      <c r="G18" s="1">
        <v>100</v>
      </c>
      <c r="H18" s="1">
        <v>5</v>
      </c>
      <c r="I18" s="1">
        <f>'Count-&gt;Actual Activity'!F18</f>
        <v>5.7136503508778969</v>
      </c>
      <c r="J18" s="1">
        <f>'Count-&gt;Actual Activity'!G18</f>
        <v>0.15745067498955981</v>
      </c>
      <c r="K18" s="1">
        <v>5</v>
      </c>
      <c r="L18" s="1">
        <v>0.01</v>
      </c>
      <c r="M18">
        <f t="shared" si="0"/>
        <v>1.1427300701755794</v>
      </c>
      <c r="N18">
        <f t="shared" si="1"/>
        <v>3.1572962012453847E-2</v>
      </c>
      <c r="O18">
        <f>B18*Parameters!$B$6</f>
        <v>373.61495765232502</v>
      </c>
      <c r="P18">
        <f>SQRT((C18/B18)^2+(Parameters!$C$6/Parameters!$B$6)^2)*'Bottle Results'!O18</f>
        <v>1.9165898051079078</v>
      </c>
      <c r="Q18">
        <f t="shared" si="2"/>
        <v>8559.1402849758106</v>
      </c>
      <c r="S18">
        <f t="shared" si="3"/>
        <v>0.69414231235384038</v>
      </c>
    </row>
    <row r="19" spans="1:19" x14ac:dyDescent="0.25">
      <c r="A19" t="s">
        <v>104</v>
      </c>
      <c r="B19">
        <v>0.79200000000000004</v>
      </c>
      <c r="C19">
        <v>1E-3</v>
      </c>
      <c r="D19" s="1">
        <v>2.99</v>
      </c>
      <c r="E19" s="1">
        <v>3.0099999999999998E-2</v>
      </c>
      <c r="F19" s="1">
        <v>1E-4</v>
      </c>
      <c r="G19" s="1">
        <v>100</v>
      </c>
      <c r="H19" s="1">
        <v>5</v>
      </c>
      <c r="I19" s="1">
        <f>'Count-&gt;Actual Activity'!F19</f>
        <v>6.1681482707427913</v>
      </c>
      <c r="J19" s="1">
        <f>'Count-&gt;Actual Activity'!G19</f>
        <v>0.15745067498955981</v>
      </c>
      <c r="K19" s="1">
        <v>5</v>
      </c>
      <c r="L19" s="1">
        <v>0.01</v>
      </c>
      <c r="M19">
        <f t="shared" si="0"/>
        <v>1.2336296541485583</v>
      </c>
      <c r="N19">
        <f t="shared" si="1"/>
        <v>3.1586642282475971E-2</v>
      </c>
      <c r="O19">
        <f>B19*Parameters!$B$6</f>
        <v>373.61495765232502</v>
      </c>
      <c r="P19">
        <f>SQRT((C19/B19)^2+(Parameters!$C$6/Parameters!$B$6)^2)*'Bottle Results'!O19</f>
        <v>1.9165898051079078</v>
      </c>
      <c r="Q19">
        <f t="shared" si="2"/>
        <v>8314.0196756634286</v>
      </c>
      <c r="S19">
        <f t="shared" si="3"/>
        <v>0.66981256267139677</v>
      </c>
    </row>
  </sheetData>
  <conditionalFormatting sqref="I2:I19">
    <cfRule type="cellIs" dxfId="0" priority="1" operator="lessThan">
      <formula>0.209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K8" sqref="K8"/>
    </sheetView>
  </sheetViews>
  <sheetFormatPr defaultRowHeight="15" x14ac:dyDescent="0.25"/>
  <cols>
    <col min="11" max="11" width="11.7109375" bestFit="1" customWidth="1"/>
    <col min="12" max="12" width="12.5703125" style="22" bestFit="1" customWidth="1"/>
  </cols>
  <sheetData>
    <row r="1" spans="1:14" x14ac:dyDescent="0.25">
      <c r="A1" t="s">
        <v>15</v>
      </c>
      <c r="B1" t="s">
        <v>30</v>
      </c>
      <c r="C1" t="s">
        <v>106</v>
      </c>
      <c r="D1" t="s">
        <v>32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127</v>
      </c>
      <c r="L1" s="22" t="s">
        <v>128</v>
      </c>
      <c r="M1" t="s">
        <v>125</v>
      </c>
      <c r="N1" t="s">
        <v>7</v>
      </c>
    </row>
    <row r="2" spans="1:14" x14ac:dyDescent="0.25">
      <c r="A2">
        <v>0</v>
      </c>
      <c r="B2">
        <f>AVERAGE('Bottle Results'!M2:M4)</f>
        <v>2.1109601472866463E-2</v>
      </c>
      <c r="C2">
        <f>_xlfn.STDEV.S('Bottle Results'!M2:M4)</f>
        <v>5.5073117998675446E-3</v>
      </c>
      <c r="D2">
        <f>AVERAGE('Bottle Results'!Q2:Q4)</f>
        <v>-70.015419552267446</v>
      </c>
      <c r="E2">
        <f>_xlfn.STDEV.S('Bottle Results'!Q2:Q4)</f>
        <v>19.056047190020486</v>
      </c>
      <c r="F2">
        <f>AVERAGE('Bottle Results'!O2:O4)</f>
        <v>0</v>
      </c>
      <c r="G2" t="e">
        <f>AVERAGE('Bottle Results'!S2:S4)</f>
        <v>#DIV/0!</v>
      </c>
      <c r="I2">
        <f>AVERAGE('Bottle Results'!D2:D4)</f>
        <v>3</v>
      </c>
      <c r="J2">
        <f>_xlfn.STDEV.S('Bottle Results'!D2:D4)</f>
        <v>0</v>
      </c>
      <c r="K2">
        <f>AVERAGE('Bottle Results'!E2:E4)</f>
        <v>3.0200000000000001E-2</v>
      </c>
      <c r="L2" s="22">
        <f>_xlfn.STDEV.S('Bottle Results'!E2:E4)</f>
        <v>6.2449979983983991E-4</v>
      </c>
      <c r="M2">
        <f>0</f>
        <v>0</v>
      </c>
      <c r="N2" t="s">
        <v>126</v>
      </c>
    </row>
    <row r="3" spans="1:14" x14ac:dyDescent="0.25">
      <c r="A3">
        <v>10</v>
      </c>
      <c r="B3">
        <f>AVERAGE('Bottle Results'!M5:M7)</f>
        <v>4.7247693409960177E-2</v>
      </c>
      <c r="C3">
        <f>_xlfn.STDEV.S('Bottle Results'!M5:M7)</f>
        <v>1.0430031575946225E-3</v>
      </c>
      <c r="D3">
        <f>AVERAGE('Bottle Results'!Q5:Q7)</f>
        <v>89.981763540463064</v>
      </c>
      <c r="E3">
        <f>_xlfn.STDEV.S('Bottle Results'!Q5:Q7)</f>
        <v>4.100687928993942</v>
      </c>
      <c r="F3">
        <f>AVERAGE('Bottle Results'!O5:O7)</f>
        <v>7.4534297107408278</v>
      </c>
      <c r="G3">
        <f>AVERAGE('Bottle Results'!S5:S7)</f>
        <v>0.36609460015603984</v>
      </c>
      <c r="H3">
        <f>_xlfn.STDEV.S('Bottle Results'!S5:S7)</f>
        <v>1.3993600236030872E-2</v>
      </c>
      <c r="I3">
        <f>AVERAGE('Bottle Results'!D5:D7)</f>
        <v>3</v>
      </c>
      <c r="J3">
        <f>_xlfn.STDEV.S('Bottle Results'!D5:D7)</f>
        <v>0</v>
      </c>
      <c r="K3">
        <f>AVERAGE('Bottle Results'!E5:E7)</f>
        <v>3.0333333333333334E-2</v>
      </c>
      <c r="L3" s="22">
        <f>_xlfn.STDEV.S('Bottle Results'!E5:E7)</f>
        <v>4.6188021535169981E-4</v>
      </c>
      <c r="M3">
        <f>COUNT('Bottle Results'!I5:I7)</f>
        <v>3</v>
      </c>
    </row>
    <row r="4" spans="1:14" x14ac:dyDescent="0.25">
      <c r="A4">
        <v>50</v>
      </c>
      <c r="B4">
        <f>AVERAGE('Bottle Results'!M8:M10)</f>
        <v>0.12918821155645291</v>
      </c>
      <c r="C4">
        <f>_xlfn.STDEV.S('Bottle Results'!M8:M10)</f>
        <v>1.0648548282682703E-2</v>
      </c>
      <c r="D4">
        <f>AVERAGE('Bottle Results'!Q8:Q10)</f>
        <v>814.73247697464546</v>
      </c>
      <c r="E4">
        <f>_xlfn.STDEV.S('Bottle Results'!Q8:Q10)</f>
        <v>34.257381469627951</v>
      </c>
      <c r="F4">
        <f>AVERAGE('Bottle Results'!O8:O10)</f>
        <v>37.361495765232505</v>
      </c>
      <c r="G4">
        <f>AVERAGE('Bottle Results'!S8:S10)</f>
        <v>0.6542209863110684</v>
      </c>
      <c r="H4">
        <f>_xlfn.STDEV.S('Bottle Results'!S8:S10)</f>
        <v>2.8501397132477579E-2</v>
      </c>
      <c r="I4">
        <f>AVERAGE('Bottle Results'!D8:D10)</f>
        <v>3.0033333333333334</v>
      </c>
      <c r="J4">
        <f>_xlfn.STDEV.S('Bottle Results'!D8:D10)</f>
        <v>5.7735026918961348E-3</v>
      </c>
      <c r="K4">
        <f>AVERAGE('Bottle Results'!E8:E10)</f>
        <v>0.03</v>
      </c>
      <c r="L4" s="22">
        <f>_xlfn.STDEV.S('Bottle Results'!E8:E10)</f>
        <v>1.732050807568867E-4</v>
      </c>
      <c r="M4">
        <f>COUNT('Bottle Results'!I8:I10)</f>
        <v>3</v>
      </c>
    </row>
    <row r="5" spans="1:14" x14ac:dyDescent="0.25">
      <c r="A5">
        <v>100</v>
      </c>
      <c r="B5">
        <f>AVERAGE('Bottle Results'!M11:M13)</f>
        <v>0.2506087591693183</v>
      </c>
      <c r="C5">
        <f>_xlfn.STDEV.S('Bottle Results'!M11:M13)</f>
        <v>1.2889144646155041E-2</v>
      </c>
      <c r="D5">
        <f>AVERAGE('Bottle Results'!Q11:Q13)</f>
        <v>1660.4250327727475</v>
      </c>
      <c r="E5">
        <f>_xlfn.STDEV.S('Bottle Results'!Q11:Q13)</f>
        <v>54.401847070698103</v>
      </c>
      <c r="F5">
        <f>AVERAGE('Bottle Results'!O11:O13)</f>
        <v>74.534297107408278</v>
      </c>
      <c r="G5">
        <f>AVERAGE('Bottle Results'!S11:S13)</f>
        <v>0.66376719323162547</v>
      </c>
      <c r="H5">
        <f>_xlfn.STDEV.S('Bottle Results'!S11:S13)</f>
        <v>1.7292904268730199E-2</v>
      </c>
      <c r="I5">
        <f>AVERAGE('Bottle Results'!D11:D13)</f>
        <v>2.9966666666666666</v>
      </c>
      <c r="J5">
        <f>_xlfn.STDEV.S('Bottle Results'!D3:D11)</f>
        <v>3.3333333333332624E-3</v>
      </c>
      <c r="K5">
        <f>AVERAGE('Bottle Results'!E11:E13)</f>
        <v>2.9800000000000004E-2</v>
      </c>
      <c r="L5" s="22">
        <f>_xlfn.STDEV.S('Bottle Results'!E11:E13)</f>
        <v>1.9999999999999879E-4</v>
      </c>
      <c r="M5">
        <f>COUNT('Bottle Results'!I11:I13)</f>
        <v>3</v>
      </c>
    </row>
    <row r="6" spans="1:14" x14ac:dyDescent="0.25">
      <c r="A6">
        <v>250</v>
      </c>
      <c r="B6">
        <f>AVERAGE('Bottle Results'!M14:M16)</f>
        <v>0.59238871856178588</v>
      </c>
      <c r="C6">
        <f>_xlfn.STDEV.S('Bottle Results'!M14:M16)</f>
        <v>3.2502488003601802E-2</v>
      </c>
      <c r="D6">
        <f>AVERAGE('Bottle Results'!Q14:Q16)</f>
        <v>4219.8458943196392</v>
      </c>
      <c r="E6">
        <f>_xlfn.STDEV.S('Bottle Results'!Q14:Q16)</f>
        <v>22.539371579474654</v>
      </c>
      <c r="F6">
        <f>AVERAGE('Bottle Results'!O14:O16)</f>
        <v>186.80747882616251</v>
      </c>
      <c r="G6">
        <f>AVERAGE('Bottle Results'!S14:S16)</f>
        <v>0.68288811439233366</v>
      </c>
      <c r="H6">
        <f>_xlfn.STDEV.S('Bottle Results'!S14:S16)</f>
        <v>1.7398922252918763E-2</v>
      </c>
      <c r="I6">
        <f>AVERAGE('Bottle Results'!D14:D16)</f>
        <v>2.9966666666666666</v>
      </c>
      <c r="J6">
        <f>_xlfn.STDEV.S('Bottle Results'!D14:D16)</f>
        <v>5.7735026918961348E-3</v>
      </c>
      <c r="K6">
        <f>AVERAGE('Bottle Results'!E14:E16)</f>
        <v>3.0233333333333334E-2</v>
      </c>
      <c r="L6" s="22">
        <f>_xlfn.STDEV.S('Bottle Results'!E14:E16)</f>
        <v>9.0184995056457869E-4</v>
      </c>
      <c r="M6">
        <f>COUNT('Bottle Results'!I14:I16)</f>
        <v>3</v>
      </c>
    </row>
    <row r="7" spans="1:14" x14ac:dyDescent="0.25">
      <c r="A7">
        <v>500</v>
      </c>
      <c r="B7">
        <f>AVERAGE('Bottle Results'!M17:M19)</f>
        <v>1.2130229183383772</v>
      </c>
      <c r="C7">
        <f>_xlfn.STDEV.S('Bottle Results'!M17:M19)</f>
        <v>6.2587665814861429E-2</v>
      </c>
      <c r="D7">
        <f>AVERAGE('Bottle Results'!Q17:Q19)</f>
        <v>8400.4142021796979</v>
      </c>
      <c r="E7">
        <f>_xlfn.STDEV.S('Bottle Results'!Q17:Q19)</f>
        <v>137.64054200277062</v>
      </c>
      <c r="F7">
        <f>AVERAGE('Bottle Results'!O17:O19)</f>
        <v>373.61495765232502</v>
      </c>
      <c r="G7">
        <f>AVERAGE('Bottle Results'!S17:S19)</f>
        <v>0.6753280634264166</v>
      </c>
      <c r="H7">
        <f>_xlfn.STDEV.S('Bottle Results'!S17:S19)</f>
        <v>1.6751916520725451E-2</v>
      </c>
      <c r="I7">
        <f>AVERAGE('Bottle Results'!D17:D19)</f>
        <v>2.9933333333333336</v>
      </c>
      <c r="J7">
        <f>_xlfn.STDEV.S('Bottle Results'!D17:D19)</f>
        <v>5.7735026918961348E-3</v>
      </c>
      <c r="K7">
        <f>AVERAGE('Bottle Results'!E17:E19)</f>
        <v>3.0033333333333332E-2</v>
      </c>
      <c r="L7" s="22">
        <f>_xlfn.STDEV.S('Bottle Results'!E17:E19)</f>
        <v>3.0550504633038898E-4</v>
      </c>
      <c r="M7">
        <f>COUNT('Bottle Results'!I17:I19)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Calibration Data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2017-07-20T19:31:41Z</dcterms:modified>
</cp:coreProperties>
</file>