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Sorption_April30_2017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8" l="1"/>
  <c r="K9" i="8"/>
  <c r="L8" i="8"/>
  <c r="K8" i="8"/>
  <c r="L7" i="8"/>
  <c r="K7" i="8"/>
  <c r="L6" i="8"/>
  <c r="K6" i="8"/>
  <c r="L5" i="8"/>
  <c r="K5" i="8"/>
  <c r="L4" i="8"/>
  <c r="K4" i="8"/>
  <c r="L3" i="8"/>
  <c r="K3" i="8"/>
  <c r="L2" i="8"/>
  <c r="K2" i="8"/>
  <c r="M9" i="8" l="1"/>
  <c r="M8" i="8"/>
  <c r="M7" i="8"/>
  <c r="M6" i="8"/>
  <c r="M5" i="8"/>
  <c r="M4" i="8"/>
  <c r="M3" i="8"/>
  <c r="M2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G2" i="2"/>
  <c r="F2" i="2"/>
  <c r="D10" i="10"/>
  <c r="C10" i="10"/>
  <c r="E10" i="10" s="1"/>
  <c r="J9" i="10"/>
  <c r="H9" i="10"/>
  <c r="F9" i="10"/>
  <c r="G9" i="10" s="1"/>
  <c r="D9" i="10"/>
  <c r="C9" i="10"/>
  <c r="E9" i="10" s="1"/>
  <c r="E8" i="10"/>
  <c r="D8" i="10"/>
  <c r="H8" i="10" s="1"/>
  <c r="J7" i="10"/>
  <c r="H7" i="10"/>
  <c r="F7" i="10"/>
  <c r="G7" i="10" s="1"/>
  <c r="E7" i="10"/>
  <c r="D7" i="10"/>
  <c r="J6" i="10"/>
  <c r="H6" i="10"/>
  <c r="E6" i="10"/>
  <c r="D6" i="10"/>
  <c r="E5" i="10"/>
  <c r="D5" i="10"/>
  <c r="J5" i="10" s="1"/>
  <c r="H4" i="10"/>
  <c r="E4" i="10"/>
  <c r="D4" i="10"/>
  <c r="J4" i="10" s="1"/>
  <c r="E3" i="10"/>
  <c r="D3" i="10"/>
  <c r="J3" i="10" s="1"/>
  <c r="J2" i="10"/>
  <c r="K2" i="10" s="1"/>
  <c r="G2" i="10"/>
  <c r="E2" i="10"/>
  <c r="D2" i="10"/>
  <c r="H2" i="10" s="1"/>
  <c r="I2" i="10" s="1"/>
  <c r="C6" i="1"/>
  <c r="B6" i="1"/>
  <c r="B8" i="1"/>
  <c r="C8" i="1"/>
  <c r="K7" i="10" l="1"/>
  <c r="G3" i="10"/>
  <c r="K3" i="10" s="1"/>
  <c r="G5" i="10"/>
  <c r="I7" i="10"/>
  <c r="K9" i="10"/>
  <c r="K5" i="10"/>
  <c r="I9" i="10"/>
  <c r="G4" i="10"/>
  <c r="I4" i="10" s="1"/>
  <c r="H5" i="10"/>
  <c r="J8" i="10"/>
  <c r="H3" i="10"/>
  <c r="G8" i="10"/>
  <c r="I8" i="10" s="1"/>
  <c r="G6" i="10"/>
  <c r="I6" i="10" s="1"/>
  <c r="I5" i="10" l="1"/>
  <c r="K4" i="10"/>
  <c r="I3" i="10"/>
  <c r="I11" i="10" s="1"/>
  <c r="K11" i="10"/>
  <c r="K6" i="10"/>
  <c r="K8" i="10"/>
  <c r="J9" i="8" l="1"/>
  <c r="I9" i="8"/>
  <c r="J8" i="8"/>
  <c r="I8" i="8"/>
  <c r="J5" i="8"/>
  <c r="P3" i="5" l="1"/>
  <c r="Q3" i="5" s="1"/>
  <c r="P4" i="5"/>
  <c r="Q4" i="5" s="1"/>
  <c r="P5" i="5"/>
  <c r="Q5" i="5" s="1"/>
  <c r="P6" i="5"/>
  <c r="Q6" i="5" s="1"/>
  <c r="P7" i="5"/>
  <c r="Q7" i="5" s="1"/>
  <c r="P8" i="5"/>
  <c r="Q8" i="5"/>
  <c r="P9" i="5"/>
  <c r="Q9" i="5" s="1"/>
  <c r="P10" i="5"/>
  <c r="Q10" i="5" s="1"/>
  <c r="P11" i="5"/>
  <c r="Q11" i="5"/>
  <c r="P12" i="5"/>
  <c r="P13" i="5"/>
  <c r="Q13" i="5"/>
  <c r="P14" i="5"/>
  <c r="Q14" i="5" s="1"/>
  <c r="P15" i="5"/>
  <c r="Q15" i="5"/>
  <c r="P16" i="5"/>
  <c r="P17" i="5"/>
  <c r="Q17" i="5" s="1"/>
  <c r="P18" i="5"/>
  <c r="Q18" i="5" s="1"/>
  <c r="P19" i="5"/>
  <c r="Q19" i="5"/>
  <c r="P20" i="5"/>
  <c r="Q20" i="5" s="1"/>
  <c r="P21" i="5"/>
  <c r="Q21" i="5"/>
  <c r="P22" i="5"/>
  <c r="Q22" i="5" s="1"/>
  <c r="P23" i="5"/>
  <c r="Q23" i="5"/>
  <c r="P24" i="5"/>
  <c r="P25" i="5"/>
  <c r="Q25" i="5" s="1"/>
  <c r="P26" i="5"/>
  <c r="Q26" i="5" s="1"/>
  <c r="P27" i="5"/>
  <c r="Q27" i="5"/>
  <c r="P28" i="5"/>
  <c r="Q28" i="5"/>
  <c r="P29" i="5"/>
  <c r="Q29" i="5"/>
  <c r="G13" i="5"/>
  <c r="F13" i="5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F2" i="5"/>
  <c r="G2" i="5" s="1"/>
  <c r="Q16" i="5" l="1"/>
  <c r="Q12" i="5"/>
  <c r="F8" i="8"/>
  <c r="F9" i="8"/>
  <c r="Q24" i="5"/>
  <c r="K3" i="5" l="1"/>
  <c r="K4" i="5"/>
  <c r="K5" i="5"/>
  <c r="J6" i="5"/>
  <c r="N6" i="5" s="1"/>
  <c r="K6" i="5"/>
  <c r="K7" i="5"/>
  <c r="J8" i="5"/>
  <c r="N8" i="5" s="1"/>
  <c r="J9" i="5"/>
  <c r="N9" i="5" s="1"/>
  <c r="J10" i="5"/>
  <c r="N10" i="5" s="1"/>
  <c r="K11" i="5"/>
  <c r="J12" i="5"/>
  <c r="N12" i="5" s="1"/>
  <c r="K13" i="5"/>
  <c r="K14" i="5"/>
  <c r="K15" i="5"/>
  <c r="J16" i="5"/>
  <c r="N16" i="5" s="1"/>
  <c r="J17" i="5"/>
  <c r="N17" i="5" s="1"/>
  <c r="J18" i="5"/>
  <c r="N18" i="5" s="1"/>
  <c r="K19" i="5"/>
  <c r="J20" i="5"/>
  <c r="N20" i="5" s="1"/>
  <c r="K20" i="5"/>
  <c r="J21" i="5"/>
  <c r="N21" i="5" s="1"/>
  <c r="K22" i="5"/>
  <c r="K23" i="5"/>
  <c r="J24" i="5"/>
  <c r="N24" i="5" s="1"/>
  <c r="K24" i="5"/>
  <c r="J25" i="5"/>
  <c r="N25" i="5" s="1"/>
  <c r="J26" i="5"/>
  <c r="N26" i="5" s="1"/>
  <c r="K27" i="5"/>
  <c r="J28" i="5"/>
  <c r="N28" i="5" s="1"/>
  <c r="J29" i="5"/>
  <c r="N29" i="5" s="1"/>
  <c r="K29" i="5"/>
  <c r="K21" i="5" l="1"/>
  <c r="O21" i="5" s="1"/>
  <c r="K12" i="5"/>
  <c r="J13" i="5"/>
  <c r="N13" i="5" s="1"/>
  <c r="K18" i="5"/>
  <c r="O18" i="5" s="1"/>
  <c r="K10" i="5"/>
  <c r="O10" i="5" s="1"/>
  <c r="K9" i="5"/>
  <c r="R25" i="5"/>
  <c r="T25" i="5"/>
  <c r="O24" i="5"/>
  <c r="O12" i="5"/>
  <c r="T24" i="5"/>
  <c r="R24" i="5"/>
  <c r="T18" i="5"/>
  <c r="R18" i="5"/>
  <c r="O6" i="5"/>
  <c r="T6" i="5"/>
  <c r="R6" i="5"/>
  <c r="O29" i="5"/>
  <c r="R29" i="5"/>
  <c r="T29" i="5"/>
  <c r="R17" i="5"/>
  <c r="T17" i="5"/>
  <c r="T10" i="5"/>
  <c r="R10" i="5"/>
  <c r="R16" i="5"/>
  <c r="T16" i="5"/>
  <c r="R21" i="5"/>
  <c r="T21" i="5"/>
  <c r="R12" i="5"/>
  <c r="T12" i="5"/>
  <c r="T28" i="5"/>
  <c r="R28" i="5"/>
  <c r="T26" i="5"/>
  <c r="R26" i="5"/>
  <c r="O20" i="5"/>
  <c r="T20" i="5"/>
  <c r="R20" i="5"/>
  <c r="R8" i="5"/>
  <c r="T8" i="5"/>
  <c r="K26" i="5"/>
  <c r="O26" i="5" s="1"/>
  <c r="K17" i="5"/>
  <c r="O17" i="5" s="1"/>
  <c r="K8" i="5"/>
  <c r="O8" i="5" s="1"/>
  <c r="J22" i="5"/>
  <c r="N22" i="5" s="1"/>
  <c r="C8" i="8" s="1"/>
  <c r="J14" i="5"/>
  <c r="N14" i="5" s="1"/>
  <c r="K25" i="5"/>
  <c r="O25" i="5" s="1"/>
  <c r="K16" i="5"/>
  <c r="O16" i="5" s="1"/>
  <c r="O13" i="5"/>
  <c r="T13" i="5"/>
  <c r="R13" i="5"/>
  <c r="O9" i="5"/>
  <c r="T9" i="5"/>
  <c r="R9" i="5"/>
  <c r="J5" i="5"/>
  <c r="N5" i="5" s="1"/>
  <c r="K28" i="5"/>
  <c r="O28" i="5" s="1"/>
  <c r="J4" i="5"/>
  <c r="N4" i="5" s="1"/>
  <c r="J27" i="5"/>
  <c r="N27" i="5" s="1"/>
  <c r="J23" i="5"/>
  <c r="N23" i="5" s="1"/>
  <c r="J19" i="5"/>
  <c r="N19" i="5" s="1"/>
  <c r="J15" i="5"/>
  <c r="N15" i="5" s="1"/>
  <c r="J11" i="5"/>
  <c r="N11" i="5" s="1"/>
  <c r="J7" i="5"/>
  <c r="N7" i="5" s="1"/>
  <c r="J3" i="5"/>
  <c r="N3" i="5" s="1"/>
  <c r="J7" i="8"/>
  <c r="J6" i="8"/>
  <c r="J4" i="8"/>
  <c r="J3" i="8"/>
  <c r="I7" i="8"/>
  <c r="I6" i="8"/>
  <c r="I5" i="8"/>
  <c r="I4" i="8"/>
  <c r="I3" i="8"/>
  <c r="J2" i="8"/>
  <c r="I2" i="8"/>
  <c r="B8" i="8" l="1"/>
  <c r="O7" i="5"/>
  <c r="T27" i="5"/>
  <c r="R27" i="5"/>
  <c r="T4" i="5"/>
  <c r="R4" i="5"/>
  <c r="E8" i="8"/>
  <c r="D8" i="8"/>
  <c r="O27" i="5"/>
  <c r="O5" i="5"/>
  <c r="T5" i="5"/>
  <c r="R5" i="5"/>
  <c r="R11" i="5"/>
  <c r="T11" i="5"/>
  <c r="T14" i="5"/>
  <c r="R14" i="5"/>
  <c r="O11" i="5"/>
  <c r="O19" i="5"/>
  <c r="O3" i="5"/>
  <c r="R3" i="5"/>
  <c r="T3" i="5"/>
  <c r="R7" i="5"/>
  <c r="T7" i="5"/>
  <c r="T15" i="5"/>
  <c r="R15" i="5"/>
  <c r="R22" i="5"/>
  <c r="T22" i="5"/>
  <c r="G8" i="8" s="1"/>
  <c r="O22" i="5"/>
  <c r="T19" i="5"/>
  <c r="R19" i="5"/>
  <c r="C9" i="8"/>
  <c r="B9" i="8"/>
  <c r="R23" i="5"/>
  <c r="T23" i="5"/>
  <c r="O14" i="5"/>
  <c r="O15" i="5"/>
  <c r="O4" i="5"/>
  <c r="O23" i="5"/>
  <c r="P2" i="5"/>
  <c r="Q2" i="5" s="1"/>
  <c r="H8" i="8" l="1"/>
  <c r="E9" i="8"/>
  <c r="D9" i="8"/>
  <c r="H9" i="8"/>
  <c r="G9" i="8"/>
  <c r="F4" i="8"/>
  <c r="F6" i="8"/>
  <c r="F3" i="8"/>
  <c r="F2" i="8"/>
  <c r="F5" i="8"/>
  <c r="F7" i="8"/>
  <c r="K2" i="5"/>
  <c r="G3" i="8" l="1"/>
  <c r="H5" i="8"/>
  <c r="B7" i="8"/>
  <c r="C7" i="8"/>
  <c r="B4" i="8"/>
  <c r="C4" i="8"/>
  <c r="G5" i="8"/>
  <c r="H3" i="8"/>
  <c r="B6" i="8"/>
  <c r="C6" i="8"/>
  <c r="C3" i="8"/>
  <c r="B3" i="8"/>
  <c r="C5" i="8"/>
  <c r="B5" i="8"/>
  <c r="J2" i="5"/>
  <c r="N2" i="5" s="1"/>
  <c r="O2" i="5" l="1"/>
  <c r="B2" i="8"/>
  <c r="D3" i="8"/>
  <c r="G6" i="8"/>
  <c r="H6" i="8"/>
  <c r="G4" i="8"/>
  <c r="H4" i="8"/>
  <c r="G7" i="8"/>
  <c r="H7" i="8"/>
  <c r="E3" i="8"/>
  <c r="E7" i="8"/>
  <c r="D7" i="8"/>
  <c r="C2" i="8"/>
  <c r="R2" i="5"/>
  <c r="T2" i="5"/>
  <c r="E6" i="8"/>
  <c r="D6" i="8"/>
  <c r="D5" i="8"/>
  <c r="E5" i="8"/>
  <c r="D4" i="8"/>
  <c r="E4" i="8"/>
  <c r="G2" i="8" l="1"/>
  <c r="H2" i="8"/>
  <c r="E2" i="8"/>
  <c r="D2" i="8"/>
</calcChain>
</file>

<file path=xl/sharedStrings.xml><?xml version="1.0" encoding="utf-8"?>
<sst xmlns="http://schemas.openxmlformats.org/spreadsheetml/2006/main" count="324" uniqueCount="148">
  <si>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</si>
  <si>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</si>
  <si>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</si>
  <si>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</si>
  <si>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</si>
  <si>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</si>
  <si>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</si>
  <si>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</si>
  <si>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</si>
  <si>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</si>
  <si>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</si>
  <si>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</si>
  <si>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</si>
  <si>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</si>
  <si>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</si>
  <si>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</si>
  <si>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</si>
  <si>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</si>
  <si>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</si>
  <si>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</si>
  <si>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</si>
  <si>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</si>
  <si>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</si>
  <si>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</si>
  <si>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</si>
  <si>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</si>
  <si>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</si>
  <si>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</si>
  <si>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</si>
  <si>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</si>
  <si>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</si>
  <si>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</si>
  <si>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</si>
  <si>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</si>
  <si>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</si>
  <si>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</si>
  <si>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</si>
  <si>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</si>
  <si>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</si>
  <si>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</si>
  <si>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</si>
  <si>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</si>
  <si>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</si>
  <si>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</si>
  <si>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</si>
  <si>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</si>
  <si>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</si>
  <si>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</si>
  <si>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</si>
  <si>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</si>
  <si>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</si>
  <si>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</si>
  <si>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</si>
  <si>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</si>
  <si>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</si>
  <si>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</si>
  <si>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</si>
  <si>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</si>
  <si>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</si>
  <si>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</si>
  <si>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</si>
  <si>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</si>
  <si>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</si>
  <si>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</si>
  <si>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</si>
  <si>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</si>
  <si>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</si>
  <si>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</si>
  <si>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</si>
  <si>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</si>
  <si>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</si>
  <si>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</si>
  <si>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</si>
  <si>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</si>
  <si>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</si>
  <si>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</si>
  <si>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</si>
  <si>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</si>
  <si>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</si>
  <si>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</si>
  <si>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</si>
  <si>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</si>
  <si>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</si>
  <si>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</si>
  <si>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</si>
  <si>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</si>
  <si>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Solid</t>
  </si>
  <si>
    <t>sCw (Bq/mL)</t>
  </si>
  <si>
    <t>sCs (Bq/g)</t>
  </si>
  <si>
    <t>TotAct</t>
  </si>
  <si>
    <t>fSorb</t>
  </si>
  <si>
    <t>sfsorb</t>
  </si>
  <si>
    <t>pH</t>
  </si>
  <si>
    <t>spH</t>
  </si>
  <si>
    <t>RaFHYpH3_2BW</t>
  </si>
  <si>
    <t>RaFHYpH3_2AW</t>
  </si>
  <si>
    <t>RaFHYpH3_2CW</t>
  </si>
  <si>
    <t>RaFHYpH5_2AW</t>
  </si>
  <si>
    <t>RaFHYpH5_2BW</t>
  </si>
  <si>
    <t>RaFHYpH5_2CW</t>
  </si>
  <si>
    <t>RaFHYpH7_2AW</t>
  </si>
  <si>
    <t>RaFHYpH7_2BW</t>
  </si>
  <si>
    <t>RaFHYpH7_2CW</t>
  </si>
  <si>
    <t>RaFHYpH9_2AW</t>
  </si>
  <si>
    <t>RaFHYpH9_2BW</t>
  </si>
  <si>
    <t>RaFHYpH9_2CW</t>
  </si>
  <si>
    <t>RaMontpH3_2AW</t>
  </si>
  <si>
    <t>RaMontpH3_2BW</t>
  </si>
  <si>
    <t>RaMontpH3_2CW</t>
  </si>
  <si>
    <t>RaMontpH5_2AW</t>
  </si>
  <si>
    <t>RaMontpH5_2BW</t>
  </si>
  <si>
    <t>RaMontpH5_2CW</t>
  </si>
  <si>
    <t>RaMontpH7_2AW</t>
  </si>
  <si>
    <t>RaMontpH7_2BW</t>
  </si>
  <si>
    <t>RaMontpH7_2CW</t>
  </si>
  <si>
    <t>RaMontpH9_2AW</t>
  </si>
  <si>
    <t>RaMontpH9_2BW</t>
  </si>
  <si>
    <t>RaMontpH9_2CW</t>
  </si>
  <si>
    <t>RaGlasspH3_2AW</t>
  </si>
  <si>
    <t>RaGlasspH5_2AW</t>
  </si>
  <si>
    <t>RaGlasspH7_2AW</t>
  </si>
  <si>
    <t>RaGlasspH9_2AW</t>
  </si>
  <si>
    <t>RaStock5</t>
  </si>
  <si>
    <t>RaStock4</t>
  </si>
  <si>
    <t>Ra Stock 5</t>
  </si>
  <si>
    <t>MIXED, SEE SAMPLE</t>
  </si>
  <si>
    <t>Slurry Volume (mL)</t>
  </si>
  <si>
    <t>Slurry Concentration (mg/L)</t>
  </si>
  <si>
    <t>RaFHYpH3_2</t>
  </si>
  <si>
    <t>RaFHYpH5_2</t>
  </si>
  <si>
    <t>RaFHYpH7_2</t>
  </si>
  <si>
    <t>RaFHYpH9_2</t>
  </si>
  <si>
    <t>RaMontpH3_2</t>
  </si>
  <si>
    <t>RaMontpH5_2</t>
  </si>
  <si>
    <t>RaMontpH7_2</t>
  </si>
  <si>
    <t>RaMontpH9_2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</si>
  <si>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</si>
  <si>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</si>
  <si>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</si>
  <si>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</si>
  <si>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</si>
  <si>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</si>
  <si>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</si>
  <si>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</si>
  <si>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</si>
  <si>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</t>
  </si>
  <si>
    <t>MinMass (g)</t>
  </si>
  <si>
    <t>sMinMass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</si>
</sst>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3960"/>
        <c:axId val="204793176"/>
      </c:scatterChart>
      <c:valAx>
        <c:axId val="20479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93176"/>
        <c:crosses val="autoZero"/>
        <c:crossBetween val="midCat"/>
      </c:valAx>
      <c:valAx>
        <c:axId val="204793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93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1608"/>
        <c:axId val="204796312"/>
      </c:scatterChart>
      <c:valAx>
        <c:axId val="20479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96312"/>
        <c:crosses val="autoZero"/>
        <c:crossBetween val="midCat"/>
      </c:valAx>
      <c:valAx>
        <c:axId val="204796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91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2" sqref="B2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>
        <v>42853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125</v>
      </c>
    </row>
    <row r="5" spans="1:5" x14ac:dyDescent="0.25">
      <c r="A5" t="s">
        <v>22</v>
      </c>
      <c r="B5" t="s">
        <v>124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  <row r="8" spans="1:5" x14ac:dyDescent="0.25">
      <c r="A8" t="s">
        <v>127</v>
      </c>
      <c r="B8">
        <f>36.6/1000</f>
        <v>3.6600000000000001E-2</v>
      </c>
      <c r="C8">
        <f>2.05/1000</f>
        <v>2.0499999999999997E-3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F37" sqref="F37"/>
    </sheetView>
  </sheetViews>
  <sheetFormatPr defaultRowHeight="15" x14ac:dyDescent="0.25"/>
  <cols>
    <col min="1" max="1" width="14.85546875" bestFit="1" customWidth="1"/>
    <col min="2" max="2" width="16.57031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42885.720833333333</v>
      </c>
      <c r="B2" t="s">
        <v>95</v>
      </c>
      <c r="C2">
        <v>10727.1</v>
      </c>
      <c r="D2">
        <v>0.61</v>
      </c>
      <c r="E2">
        <v>0</v>
      </c>
      <c r="F2">
        <v>22.52</v>
      </c>
    </row>
    <row r="3" spans="1:6" x14ac:dyDescent="0.25">
      <c r="A3" s="16">
        <v>42885.720833333333</v>
      </c>
      <c r="B3" t="s">
        <v>94</v>
      </c>
      <c r="C3">
        <v>10594.6</v>
      </c>
      <c r="D3">
        <v>0.61</v>
      </c>
      <c r="E3">
        <v>0</v>
      </c>
      <c r="F3">
        <v>33.17</v>
      </c>
    </row>
    <row r="4" spans="1:6" x14ac:dyDescent="0.25">
      <c r="A4" s="16">
        <v>42885.720833333333</v>
      </c>
      <c r="B4" t="s">
        <v>96</v>
      </c>
      <c r="C4">
        <v>11105.8</v>
      </c>
      <c r="D4">
        <v>0.6</v>
      </c>
      <c r="E4">
        <v>0</v>
      </c>
      <c r="F4">
        <v>43.82</v>
      </c>
    </row>
    <row r="5" spans="1:6" x14ac:dyDescent="0.25">
      <c r="A5" s="16">
        <v>42885.720833333333</v>
      </c>
      <c r="B5" t="s">
        <v>97</v>
      </c>
      <c r="C5">
        <v>10574.1</v>
      </c>
      <c r="D5">
        <v>0.62</v>
      </c>
      <c r="E5">
        <v>0</v>
      </c>
      <c r="F5">
        <v>54.48</v>
      </c>
    </row>
    <row r="6" spans="1:6" x14ac:dyDescent="0.25">
      <c r="A6" s="16">
        <v>42885.720833333333</v>
      </c>
      <c r="B6" t="s">
        <v>98</v>
      </c>
      <c r="C6">
        <v>10658.3</v>
      </c>
      <c r="D6">
        <v>0.61</v>
      </c>
      <c r="E6">
        <v>0</v>
      </c>
      <c r="F6">
        <v>65.12</v>
      </c>
    </row>
    <row r="7" spans="1:6" x14ac:dyDescent="0.25">
      <c r="A7" s="16">
        <v>42885.720833333333</v>
      </c>
      <c r="B7" t="s">
        <v>99</v>
      </c>
      <c r="C7">
        <v>10981.5</v>
      </c>
      <c r="D7">
        <v>0.6</v>
      </c>
      <c r="E7">
        <v>0</v>
      </c>
      <c r="F7">
        <v>75.790000000000006</v>
      </c>
    </row>
    <row r="8" spans="1:6" x14ac:dyDescent="0.25">
      <c r="A8" s="16">
        <v>42885.720833333333</v>
      </c>
      <c r="B8" t="s">
        <v>100</v>
      </c>
      <c r="C8">
        <v>6321.2</v>
      </c>
      <c r="D8">
        <v>0.8</v>
      </c>
      <c r="E8">
        <v>0</v>
      </c>
      <c r="F8">
        <v>86.43</v>
      </c>
    </row>
    <row r="9" spans="1:6" x14ac:dyDescent="0.25">
      <c r="A9" s="16">
        <v>42885.720833333333</v>
      </c>
      <c r="B9" t="s">
        <v>101</v>
      </c>
      <c r="C9">
        <v>7422.4</v>
      </c>
      <c r="D9">
        <v>0.73</v>
      </c>
      <c r="E9">
        <v>0</v>
      </c>
      <c r="F9">
        <v>97.08</v>
      </c>
    </row>
    <row r="10" spans="1:6" x14ac:dyDescent="0.25">
      <c r="A10" s="16">
        <v>42885.720833333333</v>
      </c>
      <c r="B10" t="s">
        <v>102</v>
      </c>
      <c r="C10">
        <v>8242.2999999999993</v>
      </c>
      <c r="D10">
        <v>0.7</v>
      </c>
      <c r="E10">
        <v>0</v>
      </c>
      <c r="F10">
        <v>107.72</v>
      </c>
    </row>
    <row r="11" spans="1:6" x14ac:dyDescent="0.25">
      <c r="A11" s="16">
        <v>42885.720833333333</v>
      </c>
      <c r="B11" t="s">
        <v>103</v>
      </c>
      <c r="C11">
        <v>143.80000000000001</v>
      </c>
      <c r="D11">
        <v>5.27</v>
      </c>
      <c r="E11">
        <v>0.23</v>
      </c>
      <c r="F11">
        <v>118.37</v>
      </c>
    </row>
    <row r="12" spans="1:6" x14ac:dyDescent="0.25">
      <c r="A12" s="16">
        <v>42885.720833333333</v>
      </c>
      <c r="B12" t="s">
        <v>104</v>
      </c>
      <c r="C12">
        <v>154.1</v>
      </c>
      <c r="D12">
        <v>5.09</v>
      </c>
      <c r="E12">
        <v>0.1</v>
      </c>
      <c r="F12">
        <v>128.99</v>
      </c>
    </row>
    <row r="13" spans="1:6" x14ac:dyDescent="0.25">
      <c r="A13" s="16">
        <v>42885.720833333333</v>
      </c>
      <c r="B13" t="s">
        <v>105</v>
      </c>
      <c r="C13">
        <v>329.8</v>
      </c>
      <c r="D13">
        <v>3.48</v>
      </c>
      <c r="E13">
        <v>0.04</v>
      </c>
      <c r="F13">
        <v>139.72999999999999</v>
      </c>
    </row>
    <row r="14" spans="1:6" x14ac:dyDescent="0.25">
      <c r="A14" s="16">
        <v>42885.720833333333</v>
      </c>
      <c r="B14" t="s">
        <v>106</v>
      </c>
      <c r="C14">
        <v>3197.5</v>
      </c>
      <c r="D14">
        <v>1.1200000000000001</v>
      </c>
      <c r="E14">
        <v>0</v>
      </c>
      <c r="F14">
        <v>150.37</v>
      </c>
    </row>
    <row r="15" spans="1:6" x14ac:dyDescent="0.25">
      <c r="A15" s="16">
        <v>42885.720833333333</v>
      </c>
      <c r="B15" t="s">
        <v>107</v>
      </c>
      <c r="C15">
        <v>3278.6</v>
      </c>
      <c r="D15">
        <v>1.1000000000000001</v>
      </c>
      <c r="E15">
        <v>0</v>
      </c>
      <c r="F15">
        <v>161.01</v>
      </c>
    </row>
    <row r="16" spans="1:6" x14ac:dyDescent="0.25">
      <c r="A16" s="16">
        <v>42885.720833333333</v>
      </c>
      <c r="B16" t="s">
        <v>108</v>
      </c>
      <c r="C16">
        <v>3151.4</v>
      </c>
      <c r="D16">
        <v>1.1299999999999999</v>
      </c>
      <c r="E16">
        <v>0</v>
      </c>
      <c r="F16">
        <v>171.65</v>
      </c>
    </row>
    <row r="17" spans="1:6" x14ac:dyDescent="0.25">
      <c r="A17" s="16">
        <v>42885.720833333333</v>
      </c>
      <c r="B17" t="s">
        <v>109</v>
      </c>
      <c r="C17">
        <v>1507.3</v>
      </c>
      <c r="D17">
        <v>1.63</v>
      </c>
      <c r="E17">
        <v>0.01</v>
      </c>
      <c r="F17">
        <v>182.28</v>
      </c>
    </row>
    <row r="18" spans="1:6" x14ac:dyDescent="0.25">
      <c r="A18" s="16">
        <v>42885.720833333333</v>
      </c>
      <c r="B18" t="s">
        <v>110</v>
      </c>
      <c r="C18">
        <v>1517.8</v>
      </c>
      <c r="D18">
        <v>1.62</v>
      </c>
      <c r="E18">
        <v>0.01</v>
      </c>
      <c r="F18">
        <v>192.91</v>
      </c>
    </row>
    <row r="19" spans="1:6" x14ac:dyDescent="0.25">
      <c r="A19" s="16">
        <v>42885.720833333333</v>
      </c>
      <c r="B19" t="s">
        <v>111</v>
      </c>
      <c r="C19">
        <v>1533.2</v>
      </c>
      <c r="D19">
        <v>1.62</v>
      </c>
      <c r="E19">
        <v>0.01</v>
      </c>
      <c r="F19">
        <v>203.54</v>
      </c>
    </row>
    <row r="20" spans="1:6" x14ac:dyDescent="0.25">
      <c r="A20" s="16">
        <v>42885.720833333333</v>
      </c>
      <c r="B20" t="s">
        <v>112</v>
      </c>
      <c r="C20">
        <v>1545.2</v>
      </c>
      <c r="D20">
        <v>1.61</v>
      </c>
      <c r="E20">
        <v>0.01</v>
      </c>
      <c r="F20">
        <v>214.18</v>
      </c>
    </row>
    <row r="21" spans="1:6" x14ac:dyDescent="0.25">
      <c r="A21" s="16">
        <v>42885.720833333333</v>
      </c>
      <c r="B21" t="s">
        <v>113</v>
      </c>
      <c r="C21">
        <v>1712.9</v>
      </c>
      <c r="D21">
        <v>1.53</v>
      </c>
      <c r="E21">
        <v>0.01</v>
      </c>
      <c r="F21">
        <v>224.81</v>
      </c>
    </row>
    <row r="22" spans="1:6" x14ac:dyDescent="0.25">
      <c r="A22" s="16">
        <v>42885.720833333333</v>
      </c>
      <c r="B22" t="s">
        <v>114</v>
      </c>
      <c r="C22">
        <v>1562.1</v>
      </c>
      <c r="D22">
        <v>1.6</v>
      </c>
      <c r="E22">
        <v>0.01</v>
      </c>
      <c r="F22">
        <v>235.45</v>
      </c>
    </row>
    <row r="23" spans="1:6" x14ac:dyDescent="0.25">
      <c r="A23" s="16">
        <v>42885.720833333333</v>
      </c>
      <c r="B23" t="s">
        <v>115</v>
      </c>
      <c r="C23">
        <v>1557</v>
      </c>
      <c r="D23">
        <v>1.6</v>
      </c>
      <c r="E23">
        <v>0.04</v>
      </c>
      <c r="F23">
        <v>246.11</v>
      </c>
    </row>
    <row r="24" spans="1:6" x14ac:dyDescent="0.25">
      <c r="A24" s="16">
        <v>42885.720833333333</v>
      </c>
      <c r="B24" t="s">
        <v>116</v>
      </c>
      <c r="C24">
        <v>1165.5</v>
      </c>
      <c r="D24">
        <v>1.85</v>
      </c>
      <c r="E24">
        <v>0.06</v>
      </c>
      <c r="F24">
        <v>256.77</v>
      </c>
    </row>
    <row r="25" spans="1:6" x14ac:dyDescent="0.25">
      <c r="A25" s="16">
        <v>42885.720833333333</v>
      </c>
      <c r="B25" t="s">
        <v>117</v>
      </c>
      <c r="C25">
        <v>1599.4</v>
      </c>
      <c r="D25">
        <v>1.58</v>
      </c>
      <c r="E25">
        <v>0.05</v>
      </c>
      <c r="F25">
        <v>267.52</v>
      </c>
    </row>
    <row r="26" spans="1:6" x14ac:dyDescent="0.25">
      <c r="A26" s="16">
        <v>42885.720833333333</v>
      </c>
      <c r="B26" t="s">
        <v>118</v>
      </c>
      <c r="C26">
        <v>11027.8</v>
      </c>
      <c r="D26">
        <v>0.6</v>
      </c>
      <c r="E26">
        <v>0</v>
      </c>
      <c r="F26">
        <v>278.20999999999998</v>
      </c>
    </row>
    <row r="27" spans="1:6" x14ac:dyDescent="0.25">
      <c r="A27" s="16">
        <v>42885.720833333333</v>
      </c>
      <c r="B27" t="s">
        <v>119</v>
      </c>
      <c r="C27">
        <v>10789</v>
      </c>
      <c r="D27">
        <v>0.61</v>
      </c>
      <c r="E27">
        <v>0</v>
      </c>
      <c r="F27">
        <v>288.89999999999998</v>
      </c>
    </row>
    <row r="28" spans="1:6" x14ac:dyDescent="0.25">
      <c r="A28" s="16">
        <v>42885.720833333333</v>
      </c>
      <c r="B28" t="s">
        <v>120</v>
      </c>
      <c r="C28">
        <v>9762</v>
      </c>
      <c r="D28">
        <v>0.64</v>
      </c>
      <c r="E28">
        <v>0</v>
      </c>
      <c r="F28">
        <v>299.56</v>
      </c>
    </row>
    <row r="29" spans="1:6" x14ac:dyDescent="0.25">
      <c r="A29" s="16">
        <v>42885.720833333333</v>
      </c>
      <c r="B29" t="s">
        <v>121</v>
      </c>
      <c r="C29">
        <v>10178.799999999999</v>
      </c>
      <c r="D29">
        <v>0.63</v>
      </c>
      <c r="E29">
        <v>0.01</v>
      </c>
      <c r="F29">
        <v>310.25</v>
      </c>
    </row>
    <row r="30" spans="1:6" x14ac:dyDescent="0.25">
      <c r="A30" s="16">
        <v>42887.399305555555</v>
      </c>
      <c r="B30" t="s">
        <v>95</v>
      </c>
      <c r="C30">
        <v>10507.9</v>
      </c>
      <c r="D30">
        <v>0.62</v>
      </c>
      <c r="E30">
        <v>0</v>
      </c>
      <c r="F30">
        <v>22.52</v>
      </c>
    </row>
    <row r="31" spans="1:6" x14ac:dyDescent="0.25">
      <c r="A31" s="16">
        <v>42887.399305555555</v>
      </c>
      <c r="B31" t="s">
        <v>94</v>
      </c>
      <c r="C31">
        <v>10467.799999999999</v>
      </c>
      <c r="D31">
        <v>0.62</v>
      </c>
      <c r="E31">
        <v>0</v>
      </c>
      <c r="F31">
        <v>33.159999999999997</v>
      </c>
    </row>
    <row r="32" spans="1:6" x14ac:dyDescent="0.25">
      <c r="A32" s="16">
        <v>42887.399305555555</v>
      </c>
      <c r="B32" t="s">
        <v>96</v>
      </c>
      <c r="C32">
        <v>10827.6</v>
      </c>
      <c r="D32">
        <v>0.61</v>
      </c>
      <c r="E32">
        <v>0</v>
      </c>
      <c r="F32">
        <v>43.83</v>
      </c>
    </row>
    <row r="33" spans="1:6" x14ac:dyDescent="0.25">
      <c r="A33" s="16">
        <v>42887.399305555555</v>
      </c>
      <c r="B33" t="s">
        <v>97</v>
      </c>
      <c r="C33">
        <v>10248.299999999999</v>
      </c>
      <c r="D33">
        <v>0.62</v>
      </c>
      <c r="E33">
        <v>0</v>
      </c>
      <c r="F33">
        <v>54.47</v>
      </c>
    </row>
    <row r="34" spans="1:6" x14ac:dyDescent="0.25">
      <c r="A34" s="16">
        <v>42887.399305555555</v>
      </c>
      <c r="B34" t="s">
        <v>98</v>
      </c>
      <c r="C34">
        <v>10464.6</v>
      </c>
      <c r="D34">
        <v>0.62</v>
      </c>
      <c r="E34">
        <v>0</v>
      </c>
      <c r="F34">
        <v>65.14</v>
      </c>
    </row>
    <row r="35" spans="1:6" x14ac:dyDescent="0.25">
      <c r="A35" s="16">
        <v>42887.399305555555</v>
      </c>
      <c r="B35" t="s">
        <v>99</v>
      </c>
      <c r="C35">
        <v>10641.8</v>
      </c>
      <c r="D35">
        <v>0.61</v>
      </c>
      <c r="E35">
        <v>0</v>
      </c>
      <c r="F35">
        <v>75.78</v>
      </c>
    </row>
    <row r="36" spans="1:6" x14ac:dyDescent="0.25">
      <c r="A36" s="16">
        <v>42887.399305555555</v>
      </c>
      <c r="B36" t="s">
        <v>100</v>
      </c>
      <c r="C36">
        <v>6242.2</v>
      </c>
      <c r="D36">
        <v>0.8</v>
      </c>
      <c r="E36">
        <v>0</v>
      </c>
      <c r="F36">
        <v>86.43</v>
      </c>
    </row>
    <row r="37" spans="1:6" x14ac:dyDescent="0.25">
      <c r="A37" s="16">
        <v>42887.399305555555</v>
      </c>
      <c r="B37" t="s">
        <v>101</v>
      </c>
      <c r="C37">
        <v>7270.9</v>
      </c>
      <c r="D37">
        <v>0.74</v>
      </c>
      <c r="E37">
        <v>0</v>
      </c>
      <c r="F37">
        <v>97.07</v>
      </c>
    </row>
    <row r="38" spans="1:6" x14ac:dyDescent="0.25">
      <c r="A38" s="16">
        <v>42887.399305555555</v>
      </c>
      <c r="B38" t="s">
        <v>102</v>
      </c>
      <c r="C38">
        <v>8055.7</v>
      </c>
      <c r="D38">
        <v>0.7</v>
      </c>
      <c r="E38">
        <v>0</v>
      </c>
      <c r="F38">
        <v>107.72</v>
      </c>
    </row>
    <row r="39" spans="1:6" x14ac:dyDescent="0.25">
      <c r="A39" s="16">
        <v>42887.399305555555</v>
      </c>
      <c r="B39" t="s">
        <v>103</v>
      </c>
      <c r="C39">
        <v>146.69999999999999</v>
      </c>
      <c r="D39">
        <v>5.22</v>
      </c>
      <c r="E39">
        <v>0.11</v>
      </c>
      <c r="F39">
        <v>118.34</v>
      </c>
    </row>
    <row r="40" spans="1:6" x14ac:dyDescent="0.25">
      <c r="A40" s="16">
        <v>42887.399305555555</v>
      </c>
      <c r="B40" t="s">
        <v>104</v>
      </c>
      <c r="C40">
        <v>144.69999999999999</v>
      </c>
      <c r="D40">
        <v>5.26</v>
      </c>
      <c r="E40">
        <v>0.08</v>
      </c>
      <c r="F40">
        <v>128.97</v>
      </c>
    </row>
    <row r="41" spans="1:6" x14ac:dyDescent="0.25">
      <c r="A41" s="16">
        <v>42887.399305555555</v>
      </c>
      <c r="B41" t="s">
        <v>105</v>
      </c>
      <c r="C41">
        <v>327.60000000000002</v>
      </c>
      <c r="D41">
        <v>3.49</v>
      </c>
      <c r="E41">
        <v>0.05</v>
      </c>
      <c r="F41">
        <v>139.71</v>
      </c>
    </row>
    <row r="42" spans="1:6" x14ac:dyDescent="0.25">
      <c r="A42" s="16">
        <v>42887.399305555555</v>
      </c>
      <c r="B42" t="s">
        <v>106</v>
      </c>
      <c r="C42">
        <v>3228.8</v>
      </c>
      <c r="D42">
        <v>1.1100000000000001</v>
      </c>
      <c r="E42">
        <v>0</v>
      </c>
      <c r="F42">
        <v>150.35</v>
      </c>
    </row>
    <row r="43" spans="1:6" x14ac:dyDescent="0.25">
      <c r="A43" s="16">
        <v>42887.399305555555</v>
      </c>
      <c r="B43" t="s">
        <v>107</v>
      </c>
      <c r="C43">
        <v>3194.8</v>
      </c>
      <c r="D43">
        <v>1.1200000000000001</v>
      </c>
      <c r="E43">
        <v>0</v>
      </c>
      <c r="F43">
        <v>161</v>
      </c>
    </row>
    <row r="44" spans="1:6" x14ac:dyDescent="0.25">
      <c r="A44" s="16">
        <v>42887.399305555555</v>
      </c>
      <c r="B44" t="s">
        <v>108</v>
      </c>
      <c r="C44">
        <v>3122.5</v>
      </c>
      <c r="D44">
        <v>1.1299999999999999</v>
      </c>
      <c r="E44">
        <v>0</v>
      </c>
      <c r="F44">
        <v>171.63</v>
      </c>
    </row>
    <row r="45" spans="1:6" x14ac:dyDescent="0.25">
      <c r="A45" s="16">
        <v>42887.399305555555</v>
      </c>
      <c r="B45" t="s">
        <v>109</v>
      </c>
      <c r="C45">
        <v>1465.5</v>
      </c>
      <c r="D45">
        <v>1.65</v>
      </c>
      <c r="E45">
        <v>0.01</v>
      </c>
      <c r="F45">
        <v>182.26</v>
      </c>
    </row>
    <row r="46" spans="1:6" x14ac:dyDescent="0.25">
      <c r="A46" s="16">
        <v>42887.399305555555</v>
      </c>
      <c r="B46" t="s">
        <v>110</v>
      </c>
      <c r="C46">
        <v>1528.9</v>
      </c>
      <c r="D46">
        <v>1.62</v>
      </c>
      <c r="E46">
        <v>0.01</v>
      </c>
      <c r="F46">
        <v>192.89</v>
      </c>
    </row>
    <row r="47" spans="1:6" x14ac:dyDescent="0.25">
      <c r="A47" s="16">
        <v>42887.399305555555</v>
      </c>
      <c r="B47" t="s">
        <v>111</v>
      </c>
      <c r="C47">
        <v>1516.5</v>
      </c>
      <c r="D47">
        <v>1.62</v>
      </c>
      <c r="E47">
        <v>0.01</v>
      </c>
      <c r="F47">
        <v>203.53</v>
      </c>
    </row>
    <row r="48" spans="1:6" x14ac:dyDescent="0.25">
      <c r="A48" s="16">
        <v>42887.399305555555</v>
      </c>
      <c r="B48" t="s">
        <v>112</v>
      </c>
      <c r="C48">
        <v>1546.1</v>
      </c>
      <c r="D48">
        <v>1.61</v>
      </c>
      <c r="E48">
        <v>0.01</v>
      </c>
      <c r="F48">
        <v>214.17</v>
      </c>
    </row>
    <row r="49" spans="1:6" x14ac:dyDescent="0.25">
      <c r="A49" s="16">
        <v>42887.399305555555</v>
      </c>
      <c r="B49" t="s">
        <v>113</v>
      </c>
      <c r="C49">
        <v>1708.3</v>
      </c>
      <c r="D49">
        <v>1.53</v>
      </c>
      <c r="E49">
        <v>0.01</v>
      </c>
      <c r="F49">
        <v>224.81</v>
      </c>
    </row>
    <row r="50" spans="1:6" x14ac:dyDescent="0.25">
      <c r="A50" s="16">
        <v>42887.399305555555</v>
      </c>
      <c r="B50" t="s">
        <v>114</v>
      </c>
      <c r="C50">
        <v>1545.5</v>
      </c>
      <c r="D50">
        <v>1.61</v>
      </c>
      <c r="E50">
        <v>0.01</v>
      </c>
      <c r="F50">
        <v>235.45</v>
      </c>
    </row>
    <row r="51" spans="1:6" x14ac:dyDescent="0.25">
      <c r="A51" s="16">
        <v>42887.399305555555</v>
      </c>
      <c r="B51" t="s">
        <v>115</v>
      </c>
      <c r="C51">
        <v>1507.3</v>
      </c>
      <c r="D51">
        <v>1.63</v>
      </c>
      <c r="E51">
        <v>0.02</v>
      </c>
      <c r="F51">
        <v>246.08</v>
      </c>
    </row>
    <row r="52" spans="1:6" x14ac:dyDescent="0.25">
      <c r="A52" s="16">
        <v>42887.399305555555</v>
      </c>
      <c r="B52" t="s">
        <v>116</v>
      </c>
      <c r="C52">
        <v>1158.7</v>
      </c>
      <c r="D52">
        <v>1.86</v>
      </c>
      <c r="E52">
        <v>0.03</v>
      </c>
      <c r="F52">
        <v>256.74</v>
      </c>
    </row>
    <row r="53" spans="1:6" x14ac:dyDescent="0.25">
      <c r="A53" s="16">
        <v>42887.399305555555</v>
      </c>
      <c r="B53" t="s">
        <v>117</v>
      </c>
      <c r="C53">
        <v>1607.2</v>
      </c>
      <c r="D53">
        <v>1.58</v>
      </c>
      <c r="E53">
        <v>0.02</v>
      </c>
      <c r="F53">
        <v>267.47000000000003</v>
      </c>
    </row>
    <row r="54" spans="1:6" x14ac:dyDescent="0.25">
      <c r="A54" s="16">
        <v>42887.399305555555</v>
      </c>
      <c r="B54" t="s">
        <v>118</v>
      </c>
      <c r="C54">
        <v>10960.6</v>
      </c>
      <c r="D54">
        <v>0.6</v>
      </c>
      <c r="E54">
        <v>0</v>
      </c>
      <c r="F54">
        <v>278.14999999999998</v>
      </c>
    </row>
    <row r="55" spans="1:6" x14ac:dyDescent="0.25">
      <c r="A55" s="16">
        <v>42887.399305555555</v>
      </c>
      <c r="B55" t="s">
        <v>119</v>
      </c>
      <c r="C55">
        <v>10654.8</v>
      </c>
      <c r="D55">
        <v>0.61</v>
      </c>
      <c r="E55">
        <v>0</v>
      </c>
      <c r="F55">
        <v>288.83</v>
      </c>
    </row>
    <row r="56" spans="1:6" x14ac:dyDescent="0.25">
      <c r="A56" s="16">
        <v>42887.399305555555</v>
      </c>
      <c r="B56" t="s">
        <v>120</v>
      </c>
      <c r="C56">
        <v>9846.4</v>
      </c>
      <c r="D56">
        <v>0.64</v>
      </c>
      <c r="E56">
        <v>0</v>
      </c>
      <c r="F56">
        <v>299.49</v>
      </c>
    </row>
    <row r="57" spans="1:6" x14ac:dyDescent="0.25">
      <c r="A57" s="16">
        <v>42887.399305555555</v>
      </c>
      <c r="B57" t="s">
        <v>121</v>
      </c>
      <c r="C57">
        <v>10007.6</v>
      </c>
      <c r="D57">
        <v>0.63</v>
      </c>
      <c r="E57">
        <v>0</v>
      </c>
      <c r="F57">
        <v>310.17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topLeftCell="A13" zoomScale="85" zoomScaleNormal="85" workbookViewId="0">
      <selection activeCell="E38" sqref="E38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3" customWidth="1"/>
    <col min="26" max="16384" width="9.140625" style="23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136</v>
      </c>
      <c r="G1" s="2" t="s">
        <v>137</v>
      </c>
      <c r="H1" s="2" t="s">
        <v>138</v>
      </c>
      <c r="I1" s="24" t="s">
        <v>139</v>
      </c>
      <c r="J1" s="24" t="s">
        <v>140</v>
      </c>
      <c r="K1" s="2" t="s">
        <v>139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122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5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123</v>
      </c>
      <c r="B10" s="24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141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8" t="s">
        <v>142</v>
      </c>
      <c r="B12" s="19"/>
      <c r="C12" s="19"/>
      <c r="D12" s="19"/>
      <c r="E12" s="19"/>
      <c r="F12" s="19"/>
      <c r="G12" s="19"/>
      <c r="H12" s="19"/>
      <c r="I12" s="19"/>
      <c r="J12" s="20"/>
      <c r="K12" s="19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3"/>
      <c r="W12" s="23"/>
      <c r="X12" s="23"/>
    </row>
    <row r="13" spans="1:24" x14ac:dyDescent="0.25">
      <c r="A13" s="23" t="s">
        <v>143</v>
      </c>
      <c r="B13" s="23"/>
      <c r="C13" s="23"/>
      <c r="D13" s="23"/>
      <c r="E13" s="23"/>
      <c r="F13" s="23"/>
      <c r="G13" s="23"/>
      <c r="H13" s="23"/>
      <c r="I13" s="23"/>
      <c r="J13" s="23"/>
      <c r="K13" s="2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24" x14ac:dyDescent="0.25">
      <c r="A16" s="6" t="s">
        <v>47</v>
      </c>
      <c r="B16" s="6"/>
      <c r="C16"/>
      <c r="D16"/>
      <c r="E16"/>
      <c r="F16"/>
      <c r="G16"/>
      <c r="H16"/>
      <c r="I16"/>
      <c r="J16" s="8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1:24" x14ac:dyDescent="0.25">
      <c r="A17" s="7" t="s">
        <v>48</v>
      </c>
      <c r="B17" s="7">
        <v>0.99999829960800457</v>
      </c>
      <c r="C17"/>
      <c r="D17"/>
      <c r="E17"/>
      <c r="F17"/>
      <c r="G17"/>
      <c r="H17"/>
      <c r="I17"/>
      <c r="J17" s="7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:24" x14ac:dyDescent="0.25">
      <c r="A18" s="7" t="s">
        <v>49</v>
      </c>
      <c r="B18" s="7">
        <v>0.99999659921890038</v>
      </c>
      <c r="C18"/>
      <c r="D18"/>
      <c r="E18"/>
      <c r="F18"/>
      <c r="G18"/>
      <c r="H18"/>
      <c r="I18"/>
      <c r="J18" s="7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:24" x14ac:dyDescent="0.25">
      <c r="A19" s="7" t="s">
        <v>50</v>
      </c>
      <c r="B19" s="7">
        <v>0.99999591906268037</v>
      </c>
      <c r="C19"/>
      <c r="D19"/>
      <c r="E19"/>
      <c r="F19"/>
      <c r="G19"/>
      <c r="H19"/>
      <c r="I19"/>
      <c r="J19" s="7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:24" ht="15.75" customHeight="1" x14ac:dyDescent="0.25">
      <c r="A20" s="7" t="s">
        <v>51</v>
      </c>
      <c r="B20" s="7">
        <v>0.15745067498955981</v>
      </c>
      <c r="C20"/>
      <c r="D20"/>
      <c r="E20"/>
      <c r="F20"/>
      <c r="G20"/>
      <c r="H20"/>
      <c r="I20"/>
      <c r="J20" s="7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:24" ht="15.75" thickBot="1" x14ac:dyDescent="0.3">
      <c r="A21" s="9" t="s">
        <v>52</v>
      </c>
      <c r="B21" s="9">
        <v>7</v>
      </c>
      <c r="C21"/>
      <c r="D21"/>
      <c r="E21"/>
      <c r="F21"/>
      <c r="G21"/>
      <c r="H21"/>
      <c r="I21"/>
      <c r="J21" s="7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4" x14ac:dyDescent="0.25">
      <c r="A24" s="10"/>
      <c r="B24" s="10" t="s">
        <v>54</v>
      </c>
      <c r="C24" s="10" t="s">
        <v>55</v>
      </c>
      <c r="D24" s="10" t="s">
        <v>56</v>
      </c>
      <c r="E24" s="10" t="s">
        <v>57</v>
      </c>
      <c r="F24" s="10" t="s">
        <v>58</v>
      </c>
      <c r="G24"/>
      <c r="H24"/>
      <c r="I24"/>
      <c r="J24" s="1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spans="1:24" x14ac:dyDescent="0.25">
      <c r="A25" s="7" t="s">
        <v>59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spans="1:24" ht="15.75" customHeight="1" x14ac:dyDescent="0.25">
      <c r="A26" s="7" t="s">
        <v>60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24" ht="15.75" thickBot="1" x14ac:dyDescent="0.3">
      <c r="A27" s="9" t="s">
        <v>61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spans="1:24" x14ac:dyDescent="0.25">
      <c r="A29" s="10"/>
      <c r="B29" s="10" t="s">
        <v>62</v>
      </c>
      <c r="C29" s="10" t="s">
        <v>51</v>
      </c>
      <c r="D29" s="10" t="s">
        <v>63</v>
      </c>
      <c r="E29" s="10" t="s">
        <v>64</v>
      </c>
      <c r="F29" s="10" t="s">
        <v>65</v>
      </c>
      <c r="G29" s="10" t="s">
        <v>66</v>
      </c>
      <c r="H29" s="10" t="s">
        <v>67</v>
      </c>
      <c r="I29" s="10" t="s">
        <v>68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:24" ht="15.75" customHeight="1" x14ac:dyDescent="0.25">
      <c r="A30" s="7" t="s">
        <v>69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:24" ht="15.75" thickBot="1" x14ac:dyDescent="0.3">
      <c r="A31" s="9" t="s">
        <v>70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:24" x14ac:dyDescent="0.25">
      <c r="A32"/>
      <c r="B32"/>
      <c r="C32"/>
      <c r="D32"/>
      <c r="E32"/>
      <c r="F32"/>
      <c r="G32"/>
      <c r="H32"/>
      <c r="I32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:24" x14ac:dyDescent="0.25">
      <c r="A33"/>
      <c r="B33"/>
      <c r="C33"/>
      <c r="D33"/>
      <c r="E33"/>
      <c r="F33"/>
      <c r="G33"/>
      <c r="H33"/>
      <c r="I3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:24" x14ac:dyDescent="0.25">
      <c r="A34"/>
      <c r="B34"/>
      <c r="C34"/>
      <c r="D34"/>
      <c r="E34"/>
      <c r="F34"/>
      <c r="G34"/>
      <c r="H34"/>
      <c r="I34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spans="1:24" x14ac:dyDescent="0.25">
      <c r="A37" s="10" t="s">
        <v>72</v>
      </c>
      <c r="B37" s="10" t="s">
        <v>73</v>
      </c>
      <c r="C37" s="10" t="s">
        <v>74</v>
      </c>
      <c r="D37"/>
      <c r="E37"/>
      <c r="F37"/>
      <c r="G37"/>
      <c r="H37"/>
      <c r="I37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24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spans="1:24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spans="1:24" x14ac:dyDescent="0.25">
      <c r="A47" s="23" t="s">
        <v>144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spans="1:24" x14ac:dyDescent="0.25">
      <c r="A50" s="6" t="s">
        <v>47</v>
      </c>
      <c r="B50" s="6"/>
      <c r="C50"/>
      <c r="D50"/>
      <c r="E50"/>
      <c r="F50"/>
      <c r="G50"/>
      <c r="H50"/>
      <c r="I50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spans="1:24" x14ac:dyDescent="0.25">
      <c r="A51" s="7" t="s">
        <v>48</v>
      </c>
      <c r="B51" s="7">
        <v>0.99997693899899576</v>
      </c>
      <c r="C51"/>
      <c r="D51"/>
      <c r="E51"/>
      <c r="F51"/>
      <c r="G51"/>
      <c r="H51"/>
      <c r="I51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spans="1:24" x14ac:dyDescent="0.25">
      <c r="A52" s="7" t="s">
        <v>49</v>
      </c>
      <c r="B52" s="7">
        <v>0.99995387852980122</v>
      </c>
      <c r="C52"/>
      <c r="D52"/>
      <c r="E52"/>
      <c r="F52"/>
      <c r="G52"/>
      <c r="H52"/>
      <c r="I52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spans="1:24" x14ac:dyDescent="0.25">
      <c r="A53" s="7" t="s">
        <v>50</v>
      </c>
      <c r="B53" s="7">
        <v>0.99994619161810139</v>
      </c>
      <c r="C53"/>
      <c r="D53"/>
      <c r="E53"/>
      <c r="F53"/>
      <c r="G53"/>
      <c r="H53"/>
      <c r="I5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1:24" x14ac:dyDescent="0.25">
      <c r="A54" s="7" t="s">
        <v>51</v>
      </c>
      <c r="B54" s="7">
        <v>2.3454898264593513</v>
      </c>
      <c r="C54"/>
      <c r="D54"/>
      <c r="E54"/>
      <c r="F54"/>
      <c r="G54"/>
      <c r="H54"/>
      <c r="I54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spans="1:24" ht="15.75" thickBot="1" x14ac:dyDescent="0.3">
      <c r="A55" s="9" t="s">
        <v>52</v>
      </c>
      <c r="B55" s="9">
        <v>8</v>
      </c>
      <c r="C55"/>
      <c r="D55"/>
      <c r="E55"/>
      <c r="F55"/>
      <c r="G55"/>
      <c r="H55"/>
      <c r="I55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spans="1:24" x14ac:dyDescent="0.25">
      <c r="A56"/>
      <c r="B56"/>
      <c r="C56"/>
      <c r="D56"/>
      <c r="E56"/>
      <c r="F56"/>
      <c r="G56"/>
      <c r="H56"/>
      <c r="I56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spans="1:24" x14ac:dyDescent="0.25">
      <c r="A58" s="10"/>
      <c r="B58" s="10" t="s">
        <v>54</v>
      </c>
      <c r="C58" s="10" t="s">
        <v>55</v>
      </c>
      <c r="D58" s="10" t="s">
        <v>56</v>
      </c>
      <c r="E58" s="10" t="s">
        <v>57</v>
      </c>
      <c r="F58" s="10" t="s">
        <v>58</v>
      </c>
      <c r="G58"/>
      <c r="H58"/>
      <c r="I58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spans="1:24" x14ac:dyDescent="0.25">
      <c r="A59" s="7" t="s">
        <v>59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 x14ac:dyDescent="0.25">
      <c r="A60" s="7" t="s">
        <v>60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spans="1:24" ht="15.75" thickBot="1" x14ac:dyDescent="0.3">
      <c r="A61" s="9" t="s">
        <v>61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spans="1:24" x14ac:dyDescent="0.25">
      <c r="A63" s="10"/>
      <c r="B63" s="10" t="s">
        <v>62</v>
      </c>
      <c r="C63" s="10" t="s">
        <v>51</v>
      </c>
      <c r="D63" s="10" t="s">
        <v>63</v>
      </c>
      <c r="E63" s="10" t="s">
        <v>64</v>
      </c>
      <c r="F63" s="10" t="s">
        <v>65</v>
      </c>
      <c r="G63" s="10" t="s">
        <v>66</v>
      </c>
      <c r="H63" s="10" t="s">
        <v>67</v>
      </c>
      <c r="I63" s="10" t="s">
        <v>68</v>
      </c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spans="1:24" x14ac:dyDescent="0.25">
      <c r="A64" s="7" t="s">
        <v>69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spans="1:24" ht="15.75" thickBot="1" x14ac:dyDescent="0.3">
      <c r="A65" s="9" t="s">
        <v>70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spans="1:24" x14ac:dyDescent="0.25">
      <c r="A66"/>
      <c r="B66"/>
      <c r="C66"/>
      <c r="D66"/>
      <c r="E66"/>
      <c r="F66"/>
      <c r="G66"/>
      <c r="H66"/>
      <c r="I66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spans="1:24" x14ac:dyDescent="0.25">
      <c r="A67"/>
      <c r="B67"/>
      <c r="C67"/>
      <c r="D67"/>
      <c r="E67"/>
      <c r="F67"/>
      <c r="G67"/>
      <c r="H67"/>
      <c r="I67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spans="1:24" x14ac:dyDescent="0.25">
      <c r="A68"/>
      <c r="B68"/>
      <c r="C68"/>
      <c r="D68"/>
      <c r="E68"/>
      <c r="F68"/>
      <c r="G68"/>
      <c r="H68"/>
      <c r="I68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spans="1:24" x14ac:dyDescent="0.25">
      <c r="A71" s="10" t="s">
        <v>72</v>
      </c>
      <c r="B71" s="10" t="s">
        <v>73</v>
      </c>
      <c r="C71" s="10" t="s">
        <v>74</v>
      </c>
      <c r="D71"/>
      <c r="E71"/>
      <c r="F71"/>
      <c r="G71"/>
      <c r="H71"/>
      <c r="I71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spans="1:24" x14ac:dyDescent="0.25">
      <c r="A80"/>
      <c r="B80"/>
      <c r="C80"/>
      <c r="D80"/>
      <c r="E80"/>
      <c r="F80"/>
      <c r="G80"/>
      <c r="H80"/>
      <c r="I80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spans="1:24" x14ac:dyDescent="0.25">
      <c r="A81"/>
      <c r="B81"/>
      <c r="C81"/>
      <c r="D81"/>
      <c r="E81"/>
      <c r="F81"/>
      <c r="G81"/>
      <c r="H81"/>
      <c r="I81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spans="1:24" x14ac:dyDescent="0.25">
      <c r="A82"/>
      <c r="B82"/>
      <c r="C82"/>
      <c r="D82"/>
      <c r="E82"/>
      <c r="F82"/>
      <c r="G82"/>
      <c r="H82"/>
      <c r="I82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spans="1:24" x14ac:dyDescent="0.25">
      <c r="A83"/>
      <c r="B83"/>
      <c r="C83"/>
      <c r="D83"/>
      <c r="E83"/>
      <c r="F83"/>
      <c r="G83"/>
      <c r="H83"/>
      <c r="I8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spans="1:24" x14ac:dyDescent="0.25">
      <c r="A84"/>
      <c r="B84"/>
      <c r="C84"/>
      <c r="D84"/>
      <c r="E84"/>
      <c r="F84"/>
      <c r="G84"/>
      <c r="H84"/>
      <c r="I84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spans="1:24" x14ac:dyDescent="0.25">
      <c r="A85"/>
      <c r="B85"/>
      <c r="C85"/>
      <c r="D85"/>
      <c r="E85"/>
      <c r="F85"/>
      <c r="G85"/>
      <c r="H85"/>
      <c r="I85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spans="1:24" x14ac:dyDescent="0.25">
      <c r="A86"/>
      <c r="B86"/>
      <c r="C86"/>
      <c r="D86"/>
      <c r="E86"/>
      <c r="F86"/>
      <c r="G86"/>
      <c r="H86"/>
      <c r="I86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spans="1:24" x14ac:dyDescent="0.25">
      <c r="A87"/>
      <c r="B87"/>
      <c r="C87"/>
      <c r="D87"/>
      <c r="E87"/>
      <c r="F87"/>
      <c r="G87"/>
      <c r="H87"/>
      <c r="I87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spans="1:24" x14ac:dyDescent="0.25">
      <c r="A88"/>
      <c r="B88"/>
      <c r="C88"/>
      <c r="D88"/>
      <c r="E88"/>
      <c r="F88"/>
      <c r="G88"/>
      <c r="H88"/>
      <c r="I88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spans="1:24" x14ac:dyDescent="0.25">
      <c r="A89"/>
      <c r="B89"/>
      <c r="C89"/>
      <c r="D89"/>
      <c r="E89"/>
      <c r="F89"/>
      <c r="G89"/>
      <c r="H89"/>
      <c r="I89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spans="1:24" x14ac:dyDescent="0.25">
      <c r="A90"/>
      <c r="B90"/>
      <c r="C90"/>
      <c r="D90"/>
      <c r="E90"/>
      <c r="F90"/>
      <c r="G90"/>
      <c r="H90"/>
      <c r="I90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spans="1:24" x14ac:dyDescent="0.25">
      <c r="A91"/>
      <c r="B91"/>
      <c r="C91"/>
      <c r="D91"/>
      <c r="E91"/>
      <c r="F91"/>
      <c r="G91"/>
      <c r="H91"/>
      <c r="I91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 spans="1:24" x14ac:dyDescent="0.25">
      <c r="A92"/>
      <c r="B92"/>
      <c r="C92"/>
      <c r="D92"/>
      <c r="E92"/>
      <c r="F92"/>
      <c r="G92"/>
      <c r="H92"/>
      <c r="I92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spans="1:24" x14ac:dyDescent="0.25">
      <c r="A93"/>
      <c r="B93"/>
      <c r="C93"/>
      <c r="D93"/>
      <c r="E93"/>
      <c r="F93"/>
      <c r="G93"/>
      <c r="H93"/>
      <c r="I9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 spans="1:24" x14ac:dyDescent="0.25">
      <c r="A94"/>
      <c r="B94"/>
      <c r="C94"/>
      <c r="D94"/>
      <c r="E94"/>
      <c r="F94"/>
      <c r="G94"/>
      <c r="H94"/>
      <c r="I94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spans="1:24" x14ac:dyDescent="0.25">
      <c r="A95"/>
      <c r="B95"/>
      <c r="C95"/>
      <c r="D95"/>
      <c r="E95"/>
      <c r="F95"/>
      <c r="G95"/>
      <c r="H95"/>
      <c r="I95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spans="1:24" x14ac:dyDescent="0.25">
      <c r="A96"/>
      <c r="B96"/>
      <c r="C96"/>
      <c r="D96"/>
      <c r="E96"/>
      <c r="F96"/>
      <c r="G96"/>
      <c r="H96"/>
      <c r="I96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spans="1:24" x14ac:dyDescent="0.25">
      <c r="A97"/>
      <c r="B97"/>
      <c r="C97"/>
      <c r="D97"/>
      <c r="E97"/>
      <c r="F97"/>
      <c r="G97"/>
      <c r="H97"/>
      <c r="I97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spans="1:24" x14ac:dyDescent="0.25">
      <c r="A98"/>
      <c r="B98"/>
      <c r="C98"/>
      <c r="D98"/>
      <c r="E98"/>
      <c r="F98"/>
      <c r="G98"/>
      <c r="H98"/>
      <c r="I98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spans="1:24" x14ac:dyDescent="0.25">
      <c r="A99"/>
      <c r="B99"/>
      <c r="C99"/>
      <c r="D99"/>
      <c r="E99"/>
      <c r="F99"/>
      <c r="G99"/>
      <c r="H99"/>
      <c r="I99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spans="1:24" x14ac:dyDescent="0.25">
      <c r="A100"/>
      <c r="B100"/>
      <c r="C100"/>
      <c r="D100"/>
      <c r="E100"/>
      <c r="F100"/>
      <c r="G100"/>
      <c r="H100"/>
      <c r="I100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spans="1:24" x14ac:dyDescent="0.25">
      <c r="A101"/>
      <c r="B101"/>
      <c r="C101"/>
      <c r="D101"/>
      <c r="E101"/>
      <c r="F101"/>
      <c r="G101"/>
      <c r="H101"/>
      <c r="I101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spans="1:24" x14ac:dyDescent="0.25">
      <c r="A102"/>
      <c r="B102"/>
      <c r="C102"/>
      <c r="D102"/>
      <c r="E102"/>
      <c r="F102"/>
      <c r="G102"/>
      <c r="H102"/>
      <c r="I102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spans="1:24" x14ac:dyDescent="0.25">
      <c r="A103"/>
      <c r="B103"/>
      <c r="C103"/>
      <c r="D103"/>
      <c r="E103"/>
      <c r="F103"/>
      <c r="G103"/>
      <c r="H103"/>
      <c r="I10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spans="1:24" x14ac:dyDescent="0.25">
      <c r="A104"/>
      <c r="B104"/>
      <c r="C104"/>
      <c r="D104"/>
      <c r="E104"/>
      <c r="F104"/>
      <c r="G104"/>
      <c r="H104"/>
      <c r="I104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spans="1:24" x14ac:dyDescent="0.25">
      <c r="A105"/>
      <c r="B105"/>
      <c r="C105"/>
      <c r="D105"/>
      <c r="E105"/>
      <c r="F105"/>
      <c r="G105"/>
      <c r="H105"/>
      <c r="I105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spans="1:24" x14ac:dyDescent="0.25">
      <c r="A106"/>
      <c r="B106"/>
      <c r="C106"/>
      <c r="D106"/>
      <c r="E106"/>
      <c r="F106"/>
      <c r="G106"/>
      <c r="H106"/>
      <c r="I106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spans="1:24" x14ac:dyDescent="0.25">
      <c r="A107"/>
      <c r="B107"/>
      <c r="C107"/>
      <c r="D107"/>
      <c r="E107"/>
      <c r="F107"/>
      <c r="G107"/>
      <c r="H107"/>
      <c r="I107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spans="1:24" x14ac:dyDescent="0.25">
      <c r="A108"/>
      <c r="B108"/>
      <c r="C108"/>
      <c r="D108"/>
      <c r="E108"/>
      <c r="F108"/>
      <c r="G108"/>
      <c r="H108"/>
      <c r="I108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spans="1:24" x14ac:dyDescent="0.25">
      <c r="A109"/>
      <c r="B109"/>
      <c r="C109"/>
      <c r="D109"/>
      <c r="E109"/>
      <c r="F109"/>
      <c r="G109"/>
      <c r="H109"/>
      <c r="I109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spans="1:24" x14ac:dyDescent="0.25">
      <c r="A110"/>
      <c r="B110"/>
      <c r="C110"/>
      <c r="D110"/>
      <c r="E110"/>
      <c r="F110"/>
      <c r="G110"/>
      <c r="H110"/>
      <c r="I110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spans="1:24" x14ac:dyDescent="0.25">
      <c r="A111"/>
      <c r="B111"/>
      <c r="C111"/>
      <c r="D111"/>
      <c r="E111"/>
      <c r="F111"/>
      <c r="G111"/>
      <c r="H111"/>
      <c r="I111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>
      <selection activeCell="F2" sqref="F2:G29"/>
    </sheetView>
  </sheetViews>
  <sheetFormatPr defaultRowHeight="15" x14ac:dyDescent="0.25"/>
  <cols>
    <col min="1" max="1" width="16.570312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95</v>
      </c>
      <c r="B2" s="13" t="s">
        <v>85</v>
      </c>
      <c r="C2">
        <v>176.95833333333329</v>
      </c>
      <c r="D2">
        <v>1.0882937500000001</v>
      </c>
      <c r="E2" s="1" t="s">
        <v>45</v>
      </c>
      <c r="F2" s="1">
        <f>C2*'Calibration Data'!$B$31+'Calibration Data'!$B$30</f>
        <v>28.131037243641984</v>
      </c>
      <c r="G2" s="15">
        <f>'Calibration Data'!$B$20</f>
        <v>0.15745067498955981</v>
      </c>
    </row>
    <row r="3" spans="1:7" x14ac:dyDescent="0.25">
      <c r="A3" t="s">
        <v>94</v>
      </c>
      <c r="B3" s="13" t="s">
        <v>85</v>
      </c>
      <c r="C3">
        <v>175.52</v>
      </c>
      <c r="D3">
        <v>1.079448</v>
      </c>
      <c r="E3" s="1" t="s">
        <v>45</v>
      </c>
      <c r="F3" s="1">
        <f>C3*'Calibration Data'!$B$31+'Calibration Data'!$B$30</f>
        <v>27.90206368564818</v>
      </c>
      <c r="G3" s="15">
        <f>'Calibration Data'!$B$20</f>
        <v>0.15745067498955981</v>
      </c>
    </row>
    <row r="4" spans="1:7" x14ac:dyDescent="0.25">
      <c r="A4" t="s">
        <v>96</v>
      </c>
      <c r="B4" s="13" t="s">
        <v>85</v>
      </c>
      <c r="C4">
        <v>182.77833333333331</v>
      </c>
      <c r="D4">
        <v>1.1058089166666669</v>
      </c>
      <c r="E4" s="1" t="s">
        <v>45</v>
      </c>
      <c r="F4" s="1">
        <f>C4*'Calibration Data'!$B$31+'Calibration Data'!$B$30</f>
        <v>29.057544386764125</v>
      </c>
      <c r="G4" s="15">
        <f>'Calibration Data'!$B$20</f>
        <v>0.15745067498955981</v>
      </c>
    </row>
    <row r="5" spans="1:7" x14ac:dyDescent="0.25">
      <c r="A5" t="s">
        <v>97</v>
      </c>
      <c r="B5" s="13" t="s">
        <v>85</v>
      </c>
      <c r="C5">
        <v>173.52</v>
      </c>
      <c r="D5">
        <v>1.0758239999999999</v>
      </c>
      <c r="E5" s="1" t="s">
        <v>45</v>
      </c>
      <c r="F5" s="1">
        <f>C5*'Calibration Data'!$B$31+'Calibration Data'!$B$30</f>
        <v>27.583676351241948</v>
      </c>
      <c r="G5" s="15">
        <f>'Calibration Data'!$B$20</f>
        <v>0.15745067498955981</v>
      </c>
    </row>
    <row r="6" spans="1:7" x14ac:dyDescent="0.25">
      <c r="A6" t="s">
        <v>98</v>
      </c>
      <c r="B6" s="13" t="s">
        <v>85</v>
      </c>
      <c r="C6">
        <v>176.02416666666659</v>
      </c>
      <c r="D6">
        <v>1.082548625</v>
      </c>
      <c r="E6" s="1" t="s">
        <v>45</v>
      </c>
      <c r="F6" s="1">
        <f>C6*'Calibration Data'!$B$31+'Calibration Data'!$B$30</f>
        <v>27.982323826196403</v>
      </c>
      <c r="G6" s="15">
        <f>'Calibration Data'!$B$20</f>
        <v>0.15745067498955981</v>
      </c>
    </row>
    <row r="7" spans="1:7" x14ac:dyDescent="0.25">
      <c r="A7" t="s">
        <v>99</v>
      </c>
      <c r="B7" s="13" t="s">
        <v>85</v>
      </c>
      <c r="C7">
        <v>180.19416666666669</v>
      </c>
      <c r="D7">
        <v>1.0901747083333331</v>
      </c>
      <c r="E7" s="1" t="s">
        <v>45</v>
      </c>
      <c r="F7" s="1">
        <f>C7*'Calibration Data'!$B$31+'Calibration Data'!$B$30</f>
        <v>28.646161418433412</v>
      </c>
      <c r="G7" s="15">
        <f>'Calibration Data'!$B$20</f>
        <v>0.15745067498955981</v>
      </c>
    </row>
    <row r="8" spans="1:7" ht="15.75" customHeight="1" x14ac:dyDescent="0.25">
      <c r="A8" t="s">
        <v>100</v>
      </c>
      <c r="B8" s="13" t="s">
        <v>85</v>
      </c>
      <c r="C8">
        <v>104.69499999999999</v>
      </c>
      <c r="D8">
        <v>0.83755999999999997</v>
      </c>
      <c r="E8" s="1" t="s">
        <v>45</v>
      </c>
      <c r="F8" s="1">
        <f>C8*'Calibration Data'!$B$31+'Calibration Data'!$B$30</f>
        <v>16.627172205987499</v>
      </c>
      <c r="G8" s="15">
        <f>'Calibration Data'!$B$20</f>
        <v>0.15745067498955981</v>
      </c>
    </row>
    <row r="9" spans="1:7" x14ac:dyDescent="0.25">
      <c r="A9" t="s">
        <v>101</v>
      </c>
      <c r="B9" s="13" t="s">
        <v>85</v>
      </c>
      <c r="C9">
        <v>122.4441666666667</v>
      </c>
      <c r="D9">
        <v>0.89996462500000007</v>
      </c>
      <c r="E9" s="1" t="s">
        <v>45</v>
      </c>
      <c r="F9" s="1">
        <f>C9*'Calibration Data'!$B$31+'Calibration Data'!$B$30</f>
        <v>19.452727137453476</v>
      </c>
      <c r="G9" s="15">
        <f>'Calibration Data'!$B$20</f>
        <v>0.15745067498955981</v>
      </c>
    </row>
    <row r="10" spans="1:7" x14ac:dyDescent="0.25">
      <c r="A10" t="s">
        <v>102</v>
      </c>
      <c r="B10" s="13" t="s">
        <v>85</v>
      </c>
      <c r="C10">
        <v>135.81666666666669</v>
      </c>
      <c r="D10">
        <v>0.95071666666666654</v>
      </c>
      <c r="E10" s="1" t="s">
        <v>45</v>
      </c>
      <c r="F10" s="1">
        <f>C10*'Calibration Data'!$B$31+'Calibration Data'!$B$30</f>
        <v>21.58154445212714</v>
      </c>
      <c r="G10" s="15">
        <f>'Calibration Data'!$B$20</f>
        <v>0.15745067498955981</v>
      </c>
    </row>
    <row r="11" spans="1:7" x14ac:dyDescent="0.25">
      <c r="A11" t="s">
        <v>103</v>
      </c>
      <c r="B11" s="13" t="s">
        <v>85</v>
      </c>
      <c r="C11">
        <v>2.4208333333333329</v>
      </c>
      <c r="D11">
        <v>0.1269727083333333</v>
      </c>
      <c r="E11" s="1" t="s">
        <v>45</v>
      </c>
      <c r="F11" s="1">
        <f>C11*'Calibration Data'!$B$31+'Calibration Data'!$B$30</f>
        <v>0.34577255417816705</v>
      </c>
      <c r="G11" s="15">
        <f>'Calibration Data'!$B$20</f>
        <v>0.15745067498955981</v>
      </c>
    </row>
    <row r="12" spans="1:7" x14ac:dyDescent="0.25">
      <c r="A12" t="s">
        <v>104</v>
      </c>
      <c r="B12" s="13" t="s">
        <v>85</v>
      </c>
      <c r="C12">
        <v>2.4900000000000002</v>
      </c>
      <c r="D12">
        <v>0.12885750000000001</v>
      </c>
      <c r="E12" s="1" t="s">
        <v>45</v>
      </c>
      <c r="F12" s="1">
        <f>C12*'Calibration Data'!$B$31+'Calibration Data'!$B$30</f>
        <v>0.3567834494930493</v>
      </c>
      <c r="G12" s="15">
        <f>'Calibration Data'!$B$20</f>
        <v>0.15745067498955981</v>
      </c>
    </row>
    <row r="13" spans="1:7" x14ac:dyDescent="0.25">
      <c r="A13" t="s">
        <v>105</v>
      </c>
      <c r="B13" s="13" t="s">
        <v>85</v>
      </c>
      <c r="C13">
        <v>5.4783333333333326</v>
      </c>
      <c r="D13">
        <v>0.19091991666666669</v>
      </c>
      <c r="E13" s="1" t="s">
        <v>45</v>
      </c>
      <c r="F13" s="1">
        <f>C13*'Calibration Data'!$B$31+'Calibration Data'!$B$30</f>
        <v>0.83250719165169362</v>
      </c>
      <c r="G13" s="15">
        <f>'Calibration Data'!$B$20</f>
        <v>0.15745067498955981</v>
      </c>
    </row>
    <row r="14" spans="1:7" x14ac:dyDescent="0.25">
      <c r="A14" t="s">
        <v>106</v>
      </c>
      <c r="B14" s="13" t="s">
        <v>85</v>
      </c>
      <c r="C14">
        <v>53.552500000000002</v>
      </c>
      <c r="D14">
        <v>0.59711037500000008</v>
      </c>
      <c r="E14" s="1" t="s">
        <v>45</v>
      </c>
      <c r="F14" s="1">
        <f>C14*'Calibration Data'!$B$31+'Calibration Data'!$B$30</f>
        <v>8.4856100810521511</v>
      </c>
      <c r="G14" s="15">
        <f>'Calibration Data'!$B$20</f>
        <v>0.15745067498955981</v>
      </c>
    </row>
    <row r="15" spans="1:7" x14ac:dyDescent="0.25">
      <c r="A15" t="s">
        <v>107</v>
      </c>
      <c r="B15" s="13" t="s">
        <v>85</v>
      </c>
      <c r="C15">
        <v>53.945</v>
      </c>
      <c r="D15">
        <v>0.59878950000000009</v>
      </c>
      <c r="E15" s="1" t="s">
        <v>45</v>
      </c>
      <c r="F15" s="1">
        <f>C15*'Calibration Data'!$B$31+'Calibration Data'!$B$30</f>
        <v>8.5480935954293731</v>
      </c>
      <c r="G15" s="15">
        <f>'Calibration Data'!$B$20</f>
        <v>0.15745067498955981</v>
      </c>
    </row>
    <row r="16" spans="1:7" x14ac:dyDescent="0.25">
      <c r="A16" t="s">
        <v>108</v>
      </c>
      <c r="B16" s="13" t="s">
        <v>85</v>
      </c>
      <c r="C16">
        <v>52.282499999999999</v>
      </c>
      <c r="D16">
        <v>0.59079224999999991</v>
      </c>
      <c r="E16" s="1" t="s">
        <v>45</v>
      </c>
      <c r="F16" s="1">
        <f>C16*'Calibration Data'!$B$31+'Calibration Data'!$B$30</f>
        <v>8.2834341237041933</v>
      </c>
      <c r="G16" s="15">
        <f>'Calibration Data'!$B$20</f>
        <v>0.15745067498955981</v>
      </c>
    </row>
    <row r="17" spans="1:7" x14ac:dyDescent="0.25">
      <c r="A17" t="s">
        <v>109</v>
      </c>
      <c r="B17" s="13" t="s">
        <v>85</v>
      </c>
      <c r="C17">
        <v>24.77333333333333</v>
      </c>
      <c r="D17">
        <v>0.40628266666666663</v>
      </c>
      <c r="E17" s="1" t="s">
        <v>45</v>
      </c>
      <c r="F17" s="1">
        <f>C17*'Calibration Data'!$B$31+'Calibration Data'!$B$30</f>
        <v>3.9041490003358126</v>
      </c>
      <c r="G17" s="15">
        <f>'Calibration Data'!$B$20</f>
        <v>0.15745067498955981</v>
      </c>
    </row>
    <row r="18" spans="1:7" x14ac:dyDescent="0.25">
      <c r="A18" t="s">
        <v>110</v>
      </c>
      <c r="B18" s="13" t="s">
        <v>85</v>
      </c>
      <c r="C18">
        <v>25.389166666666672</v>
      </c>
      <c r="D18">
        <v>0.41130450000000007</v>
      </c>
      <c r="E18" s="1" t="s">
        <v>45</v>
      </c>
      <c r="F18" s="1">
        <f>C18*'Calibration Data'!$B$31+'Calibration Data'!$B$30</f>
        <v>4.0021857670550665</v>
      </c>
      <c r="G18" s="15">
        <f>'Calibration Data'!$B$20</f>
        <v>0.15745067498955981</v>
      </c>
    </row>
    <row r="19" spans="1:7" x14ac:dyDescent="0.25">
      <c r="A19" t="s">
        <v>111</v>
      </c>
      <c r="B19" s="13" t="s">
        <v>85</v>
      </c>
      <c r="C19">
        <v>25.41416666666667</v>
      </c>
      <c r="D19">
        <v>0.41170950000000012</v>
      </c>
      <c r="E19" s="1" t="s">
        <v>45</v>
      </c>
      <c r="F19" s="1">
        <f>C19*'Calibration Data'!$B$31+'Calibration Data'!$B$30</f>
        <v>4.0061656087351443</v>
      </c>
      <c r="G19" s="15">
        <f>'Calibration Data'!$B$20</f>
        <v>0.15745067498955981</v>
      </c>
    </row>
    <row r="20" spans="1:7" x14ac:dyDescent="0.25">
      <c r="A20" t="s">
        <v>112</v>
      </c>
      <c r="B20" s="14" t="s">
        <v>86</v>
      </c>
      <c r="C20">
        <v>25.760833333333331</v>
      </c>
      <c r="D20">
        <v>0.41474941666666659</v>
      </c>
      <c r="E20" s="1" t="s">
        <v>45</v>
      </c>
      <c r="F20" s="1">
        <f>C20*'Calibration Data'!$B$31+'Calibration Data'!$B$30</f>
        <v>4.0613527466988897</v>
      </c>
      <c r="G20" s="15">
        <f>'Calibration Data'!$B$20</f>
        <v>0.15745067498955981</v>
      </c>
    </row>
    <row r="21" spans="1:7" x14ac:dyDescent="0.25">
      <c r="A21" t="s">
        <v>113</v>
      </c>
      <c r="B21" s="14" t="s">
        <v>86</v>
      </c>
      <c r="C21">
        <v>28.51</v>
      </c>
      <c r="D21">
        <v>0.43620300000000012</v>
      </c>
      <c r="E21" s="1" t="s">
        <v>45</v>
      </c>
      <c r="F21" s="1">
        <f>C21*'Calibration Data'!$B$31+'Calibration Data'!$B$30</f>
        <v>4.4990026701181227</v>
      </c>
      <c r="G21" s="15">
        <f>'Calibration Data'!$B$20</f>
        <v>0.15745067498955981</v>
      </c>
    </row>
    <row r="22" spans="1:7" x14ac:dyDescent="0.25">
      <c r="A22" t="s">
        <v>114</v>
      </c>
      <c r="B22" s="14" t="s">
        <v>86</v>
      </c>
      <c r="C22">
        <v>25.896666666666668</v>
      </c>
      <c r="D22">
        <v>0.41564150000000011</v>
      </c>
      <c r="E22" s="1" t="s">
        <v>45</v>
      </c>
      <c r="F22" s="1">
        <f>C22*'Calibration Data'!$B$31+'Calibration Data'!$B$30</f>
        <v>4.0829765531606466</v>
      </c>
      <c r="G22" s="15">
        <f>'Calibration Data'!$B$20</f>
        <v>0.15745067498955981</v>
      </c>
    </row>
    <row r="23" spans="1:7" x14ac:dyDescent="0.25">
      <c r="A23" t="s">
        <v>115</v>
      </c>
      <c r="B23" s="14" t="s">
        <v>86</v>
      </c>
      <c r="C23">
        <v>25.535833333333329</v>
      </c>
      <c r="D23">
        <v>0.41240370833333329</v>
      </c>
      <c r="E23" s="1" t="s">
        <v>45</v>
      </c>
      <c r="F23" s="1">
        <f>C23*'Calibration Data'!$B$31+'Calibration Data'!$B$30</f>
        <v>4.0255341715781885</v>
      </c>
      <c r="G23" s="15">
        <f>'Calibration Data'!$B$20</f>
        <v>0.15745067498955981</v>
      </c>
    </row>
    <row r="24" spans="1:7" x14ac:dyDescent="0.25">
      <c r="A24" t="s">
        <v>116</v>
      </c>
      <c r="B24" s="14" t="s">
        <v>86</v>
      </c>
      <c r="C24">
        <v>19.368333333333329</v>
      </c>
      <c r="D24">
        <v>0.35928258333333341</v>
      </c>
      <c r="E24" s="1" t="s">
        <v>45</v>
      </c>
      <c r="F24" s="1">
        <f>C24*'Calibration Data'!$B$31+'Calibration Data'!$B$30</f>
        <v>3.0437072291029716</v>
      </c>
      <c r="G24" s="15">
        <f>'Calibration Data'!$B$20</f>
        <v>0.15745067498955981</v>
      </c>
    </row>
    <row r="25" spans="1:7" x14ac:dyDescent="0.25">
      <c r="A25" t="s">
        <v>117</v>
      </c>
      <c r="B25" s="14" t="s">
        <v>86</v>
      </c>
      <c r="C25">
        <v>26.721666666666671</v>
      </c>
      <c r="D25">
        <v>0.42220233333333351</v>
      </c>
      <c r="E25" s="1" t="s">
        <v>45</v>
      </c>
      <c r="F25" s="1">
        <f>C25*'Calibration Data'!$B$31+'Calibration Data'!$B$30</f>
        <v>4.2143113286032179</v>
      </c>
      <c r="G25" s="15">
        <f>'Calibration Data'!$B$20</f>
        <v>0.15745067498955981</v>
      </c>
    </row>
    <row r="26" spans="1:7" x14ac:dyDescent="0.25">
      <c r="A26" t="s">
        <v>118</v>
      </c>
      <c r="B26" s="14" t="s">
        <v>86</v>
      </c>
      <c r="C26">
        <v>183.23666666666671</v>
      </c>
      <c r="D26">
        <v>1.0994200000000001</v>
      </c>
      <c r="E26" s="1" t="s">
        <v>45</v>
      </c>
      <c r="F26" s="1">
        <f>C26*'Calibration Data'!$B$31+'Calibration Data'!$B$30</f>
        <v>29.130508150898894</v>
      </c>
      <c r="G26" s="15">
        <f>'Calibration Data'!$B$20</f>
        <v>0.15745067498955981</v>
      </c>
    </row>
    <row r="27" spans="1:7" x14ac:dyDescent="0.25">
      <c r="A27" t="s">
        <v>119</v>
      </c>
      <c r="B27" s="14" t="s">
        <v>86</v>
      </c>
      <c r="C27">
        <v>178.6983333333333</v>
      </c>
      <c r="D27">
        <v>1.0900598333333329</v>
      </c>
      <c r="E27" s="1" t="s">
        <v>45</v>
      </c>
      <c r="F27" s="1">
        <f>C27*'Calibration Data'!$B$31+'Calibration Data'!$B$30</f>
        <v>28.40803422457541</v>
      </c>
      <c r="G27" s="15">
        <f>'Calibration Data'!$B$20</f>
        <v>0.15745067498955981</v>
      </c>
    </row>
    <row r="28" spans="1:7" x14ac:dyDescent="0.25">
      <c r="A28" t="s">
        <v>120</v>
      </c>
      <c r="B28" s="14" t="s">
        <v>86</v>
      </c>
      <c r="C28">
        <v>163.40333333333331</v>
      </c>
      <c r="D28">
        <v>1.045781333333333</v>
      </c>
      <c r="E28" s="1" t="s">
        <v>45</v>
      </c>
      <c r="F28" s="1">
        <f>C28*'Calibration Data'!$B$31+'Calibration Data'!$B$30</f>
        <v>25.973167084703753</v>
      </c>
      <c r="G28" s="15">
        <f>'Calibration Data'!$B$20</f>
        <v>0.15745067498955981</v>
      </c>
    </row>
    <row r="29" spans="1:7" x14ac:dyDescent="0.25">
      <c r="A29" t="s">
        <v>121</v>
      </c>
      <c r="B29" s="14" t="s">
        <v>86</v>
      </c>
      <c r="C29">
        <v>168.22</v>
      </c>
      <c r="D29">
        <v>1.0597859999999999</v>
      </c>
      <c r="E29" s="1" t="s">
        <v>45</v>
      </c>
      <c r="F29" s="1">
        <f>C29*'Calibration Data'!$B$31+'Calibration Data'!$B$30</f>
        <v>26.739949915065434</v>
      </c>
      <c r="G29" s="15">
        <f>'Calibration Data'!$B$20</f>
        <v>0.15745067498955981</v>
      </c>
    </row>
    <row r="30" spans="1:7" x14ac:dyDescent="0.25">
      <c r="A30" s="13"/>
      <c r="B30" s="14"/>
    </row>
    <row r="31" spans="1:7" x14ac:dyDescent="0.25">
      <c r="A31" s="13"/>
      <c r="B31" s="14"/>
    </row>
    <row r="32" spans="1:7" x14ac:dyDescent="0.25">
      <c r="A32" s="13"/>
      <c r="B32" s="14"/>
    </row>
    <row r="33" spans="1:2" x14ac:dyDescent="0.25">
      <c r="A33" s="13"/>
      <c r="B33" s="14"/>
    </row>
    <row r="34" spans="1:2" x14ac:dyDescent="0.25">
      <c r="A34" s="13"/>
      <c r="B34" s="14"/>
    </row>
    <row r="35" spans="1:2" x14ac:dyDescent="0.25">
      <c r="A35" s="13"/>
      <c r="B35" s="14"/>
    </row>
    <row r="36" spans="1:2" x14ac:dyDescent="0.25">
      <c r="A36" s="13"/>
      <c r="B36" s="14"/>
    </row>
    <row r="37" spans="1:2" x14ac:dyDescent="0.25">
      <c r="A37" s="13"/>
      <c r="B37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pane xSplit="1" ySplit="1" topLeftCell="G8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defaultRowHeight="15" x14ac:dyDescent="0.25"/>
  <cols>
    <col min="1" max="1" width="16.570312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8.28515625" bestFit="1" customWidth="1"/>
    <col min="6" max="6" width="15.7109375" bestFit="1" customWidth="1"/>
    <col min="7" max="7" width="20.5703125" bestFit="1" customWidth="1"/>
    <col min="8" max="8" width="17.5703125" bestFit="1" customWidth="1"/>
    <col min="9" max="9" width="22.42578125" bestFit="1" customWidth="1"/>
    <col min="10" max="10" width="19.140625" bestFit="1" customWidth="1"/>
    <col min="11" max="11" width="24.42578125" bestFit="1" customWidth="1"/>
    <col min="12" max="12" width="24.7109375" bestFit="1" customWidth="1"/>
    <col min="13" max="13" width="29.85546875" bestFit="1" customWidth="1"/>
    <col min="14" max="14" width="11.28515625" bestFit="1" customWidth="1"/>
    <col min="15" max="15" width="12.42578125" bestFit="1" customWidth="1"/>
    <col min="16" max="16" width="16.85546875" bestFit="1" customWidth="1"/>
    <col min="17" max="17" width="18.140625" bestFit="1" customWidth="1"/>
    <col min="18" max="18" width="9" bestFit="1" customWidth="1"/>
    <col min="19" max="19" width="10.140625" bestFit="1" customWidth="1"/>
    <col min="20" max="20" width="13.140625" bestFit="1" customWidth="1"/>
    <col min="21" max="21" width="14.28515625" bestFit="1" customWidth="1"/>
  </cols>
  <sheetData>
    <row r="1" spans="1:20" x14ac:dyDescent="0.25">
      <c r="A1" t="s">
        <v>10</v>
      </c>
      <c r="B1" t="s">
        <v>27</v>
      </c>
      <c r="C1" t="s">
        <v>28</v>
      </c>
      <c r="D1" t="s">
        <v>12</v>
      </c>
      <c r="E1" t="s">
        <v>126</v>
      </c>
      <c r="F1" t="s">
        <v>25</v>
      </c>
      <c r="G1" t="s">
        <v>26</v>
      </c>
      <c r="H1" t="s">
        <v>77</v>
      </c>
      <c r="I1" t="s">
        <v>78</v>
      </c>
      <c r="J1" t="s">
        <v>75</v>
      </c>
      <c r="K1" t="s">
        <v>76</v>
      </c>
      <c r="L1" t="s">
        <v>79</v>
      </c>
      <c r="M1" t="s">
        <v>80</v>
      </c>
      <c r="N1" t="s">
        <v>29</v>
      </c>
      <c r="O1" t="s">
        <v>30</v>
      </c>
      <c r="P1" t="s">
        <v>33</v>
      </c>
      <c r="Q1" t="s">
        <v>34</v>
      </c>
      <c r="R1" t="s">
        <v>31</v>
      </c>
      <c r="S1" t="s">
        <v>32</v>
      </c>
      <c r="T1" t="s">
        <v>90</v>
      </c>
    </row>
    <row r="2" spans="1:20" x14ac:dyDescent="0.25">
      <c r="A2" t="s">
        <v>95</v>
      </c>
      <c r="B2">
        <v>0.34799999999999998</v>
      </c>
      <c r="C2">
        <v>2E-3</v>
      </c>
      <c r="D2" s="1">
        <v>2.99</v>
      </c>
      <c r="E2" s="1">
        <v>0.82</v>
      </c>
      <c r="F2" s="1">
        <f>E2*Parameters!$B$8</f>
        <v>3.0011999999999997E-2</v>
      </c>
      <c r="G2" s="1">
        <f>F2*SQRT((0.002/E2)^2+(Parameters!$C$8/Parameters!$B$8)^2)</f>
        <v>1.6825930108020769E-3</v>
      </c>
      <c r="H2" s="1">
        <v>100</v>
      </c>
      <c r="I2" s="1">
        <v>5</v>
      </c>
      <c r="J2" s="1">
        <f>'Count-&gt;Actual Activity'!F2</f>
        <v>28.131037243641984</v>
      </c>
      <c r="K2" s="1">
        <f>'Count-&gt;Actual Activity'!G2</f>
        <v>0.15745067498955981</v>
      </c>
      <c r="L2" s="1">
        <v>10</v>
      </c>
      <c r="M2" s="1">
        <v>0.02</v>
      </c>
      <c r="N2">
        <f t="shared" ref="N2:N29" si="0">J2/L2</f>
        <v>2.8131037243641983</v>
      </c>
      <c r="O2">
        <f t="shared" ref="O2:O29" si="1">SQRT((M2/L2)^2+(K2/J2)^2)*N2</f>
        <v>1.6720088540519363E-2</v>
      </c>
      <c r="P2">
        <f>B2*Parameters!$B$6</f>
        <v>320.76777464788734</v>
      </c>
      <c r="Q2">
        <f>SQRT((C2/B2)^2+(Parameters!$C$6/Parameters!$B$6)^2)*'Bottle Results'!P2</f>
        <v>14.211622984040488</v>
      </c>
      <c r="R2">
        <f t="shared" ref="R2:R29" si="2">(P2-N2*H2)/F2</f>
        <v>1314.7208520414345</v>
      </c>
      <c r="T2">
        <f t="shared" ref="T2:T29" si="3">(P2-N2*H2)/P2</f>
        <v>0.12300924634583582</v>
      </c>
    </row>
    <row r="3" spans="1:20" x14ac:dyDescent="0.25">
      <c r="A3" t="s">
        <v>94</v>
      </c>
      <c r="B3">
        <v>0.34799999999999998</v>
      </c>
      <c r="C3">
        <v>2E-3</v>
      </c>
      <c r="D3" s="1">
        <v>2.99</v>
      </c>
      <c r="E3" s="1">
        <v>0.82</v>
      </c>
      <c r="F3" s="1">
        <f>E3*Parameters!$B$8</f>
        <v>3.0011999999999997E-2</v>
      </c>
      <c r="G3" s="1">
        <f>F3*SQRT((0.002/E3)^2+(Parameters!$C$8/Parameters!$B$8)^2)</f>
        <v>1.6825930108020769E-3</v>
      </c>
      <c r="H3" s="1">
        <v>100</v>
      </c>
      <c r="I3" s="1">
        <v>5</v>
      </c>
      <c r="J3" s="1">
        <f>'Count-&gt;Actual Activity'!F3</f>
        <v>27.90206368564818</v>
      </c>
      <c r="K3" s="1">
        <f>'Count-&gt;Actual Activity'!G3</f>
        <v>0.15745067498955981</v>
      </c>
      <c r="L3" s="1">
        <v>10</v>
      </c>
      <c r="M3" s="1">
        <v>0.02</v>
      </c>
      <c r="N3">
        <f t="shared" si="0"/>
        <v>2.7902063685648182</v>
      </c>
      <c r="O3">
        <f t="shared" si="1"/>
        <v>1.6704734564290408E-2</v>
      </c>
      <c r="P3">
        <f>B3*Parameters!$B$6</f>
        <v>320.76777464788734</v>
      </c>
      <c r="Q3">
        <f>SQRT((C3/B3)^2+(Parameters!$C$6/Parameters!$B$6)^2)*'Bottle Results'!P3</f>
        <v>14.211622984040488</v>
      </c>
      <c r="R3">
        <f t="shared" si="2"/>
        <v>1391.0148537720088</v>
      </c>
      <c r="T3">
        <f t="shared" si="3"/>
        <v>0.13014754314778695</v>
      </c>
    </row>
    <row r="4" spans="1:20" x14ac:dyDescent="0.25">
      <c r="A4" t="s">
        <v>96</v>
      </c>
      <c r="B4">
        <v>0.34799999999999998</v>
      </c>
      <c r="C4">
        <v>2E-3</v>
      </c>
      <c r="D4" s="1">
        <v>2.99</v>
      </c>
      <c r="E4" s="1">
        <v>0.82</v>
      </c>
      <c r="F4" s="1">
        <f>E4*Parameters!$B$8</f>
        <v>3.0011999999999997E-2</v>
      </c>
      <c r="G4" s="1">
        <f>F4*SQRT((0.002/E4)^2+(Parameters!$C$8/Parameters!$B$8)^2)</f>
        <v>1.6825930108020769E-3</v>
      </c>
      <c r="H4" s="1">
        <v>100</v>
      </c>
      <c r="I4" s="1">
        <v>5</v>
      </c>
      <c r="J4" s="1">
        <f>'Count-&gt;Actual Activity'!F4</f>
        <v>29.057544386764125</v>
      </c>
      <c r="K4" s="1">
        <f>'Count-&gt;Actual Activity'!G4</f>
        <v>0.15745067498955981</v>
      </c>
      <c r="L4" s="1">
        <v>10</v>
      </c>
      <c r="M4" s="1">
        <v>0.02</v>
      </c>
      <c r="N4">
        <f t="shared" si="0"/>
        <v>2.9057544386764125</v>
      </c>
      <c r="O4">
        <f t="shared" si="1"/>
        <v>1.6783348473359858E-2</v>
      </c>
      <c r="P4">
        <f>B4*Parameters!$B$6</f>
        <v>320.76777464788734</v>
      </c>
      <c r="Q4">
        <f>SQRT((C4/B4)^2+(Parameters!$C$6/Parameters!$B$6)^2)*'Bottle Results'!P4</f>
        <v>14.211622984040488</v>
      </c>
      <c r="R4">
        <f t="shared" si="2"/>
        <v>1006.0086225591796</v>
      </c>
      <c r="T4">
        <f t="shared" si="3"/>
        <v>9.4125199494833195E-2</v>
      </c>
    </row>
    <row r="5" spans="1:20" x14ac:dyDescent="0.25">
      <c r="A5" t="s">
        <v>97</v>
      </c>
      <c r="B5">
        <v>0.34799999999999998</v>
      </c>
      <c r="C5">
        <v>2E-3</v>
      </c>
      <c r="D5" s="1">
        <v>5.0199999999999996</v>
      </c>
      <c r="E5" s="1">
        <v>0.82</v>
      </c>
      <c r="F5" s="1">
        <f>E5*Parameters!$B$8</f>
        <v>3.0011999999999997E-2</v>
      </c>
      <c r="G5" s="1">
        <f>F5*SQRT((0.002/E5)^2+(Parameters!$C$8/Parameters!$B$8)^2)</f>
        <v>1.6825930108020769E-3</v>
      </c>
      <c r="H5" s="1">
        <v>100</v>
      </c>
      <c r="I5" s="1">
        <v>5</v>
      </c>
      <c r="J5" s="1">
        <f>'Count-&gt;Actual Activity'!F5</f>
        <v>27.583676351241948</v>
      </c>
      <c r="K5" s="1">
        <f>'Count-&gt;Actual Activity'!G5</f>
        <v>0.15745067498955981</v>
      </c>
      <c r="L5" s="1">
        <v>10</v>
      </c>
      <c r="M5" s="1">
        <v>0.02</v>
      </c>
      <c r="N5">
        <f t="shared" si="0"/>
        <v>2.7583676351241948</v>
      </c>
      <c r="O5">
        <f t="shared" si="1"/>
        <v>1.6683570318989954E-2</v>
      </c>
      <c r="P5">
        <f>B5*Parameters!$B$6</f>
        <v>320.76777464788734</v>
      </c>
      <c r="Q5">
        <f>SQRT((C5/B5)^2+(Parameters!$C$6/Parameters!$B$6)^2)*'Bottle Results'!P5</f>
        <v>14.211622984040488</v>
      </c>
      <c r="R5">
        <f t="shared" si="2"/>
        <v>1497.101530570035</v>
      </c>
      <c r="T5">
        <f t="shared" si="3"/>
        <v>0.14007333244366421</v>
      </c>
    </row>
    <row r="6" spans="1:20" x14ac:dyDescent="0.25">
      <c r="A6" t="s">
        <v>98</v>
      </c>
      <c r="B6">
        <v>0.34799999999999998</v>
      </c>
      <c r="C6">
        <v>2E-3</v>
      </c>
      <c r="D6" s="1">
        <v>5.01</v>
      </c>
      <c r="E6" s="1">
        <v>0.82</v>
      </c>
      <c r="F6" s="1">
        <f>E6*Parameters!$B$8</f>
        <v>3.0011999999999997E-2</v>
      </c>
      <c r="G6" s="1">
        <f>F6*SQRT((0.002/E6)^2+(Parameters!$C$8/Parameters!$B$8)^2)</f>
        <v>1.6825930108020769E-3</v>
      </c>
      <c r="H6" s="1">
        <v>100</v>
      </c>
      <c r="I6" s="1">
        <v>5</v>
      </c>
      <c r="J6" s="1">
        <f>'Count-&gt;Actual Activity'!F6</f>
        <v>27.982323826196403</v>
      </c>
      <c r="K6" s="1">
        <f>'Count-&gt;Actual Activity'!G6</f>
        <v>0.15745067498955981</v>
      </c>
      <c r="L6" s="1">
        <v>10</v>
      </c>
      <c r="M6" s="1">
        <v>0.02</v>
      </c>
      <c r="N6">
        <f t="shared" si="0"/>
        <v>2.7982323826196405</v>
      </c>
      <c r="O6">
        <f t="shared" si="1"/>
        <v>1.6710103782300242E-2</v>
      </c>
      <c r="P6">
        <f>B6*Parameters!$B$6</f>
        <v>320.76777464788734</v>
      </c>
      <c r="Q6">
        <f>SQRT((C6/B6)^2+(Parameters!$C$6/Parameters!$B$6)^2)*'Bottle Results'!P6</f>
        <v>14.211622984040488</v>
      </c>
      <c r="R6">
        <f t="shared" si="2"/>
        <v>1364.2721706625118</v>
      </c>
      <c r="T6">
        <f t="shared" si="3"/>
        <v>0.12764541709611843</v>
      </c>
    </row>
    <row r="7" spans="1:20" x14ac:dyDescent="0.25">
      <c r="A7" t="s">
        <v>99</v>
      </c>
      <c r="B7">
        <v>0.34799999999999998</v>
      </c>
      <c r="C7">
        <v>2E-3</v>
      </c>
      <c r="D7" s="1">
        <v>5.03</v>
      </c>
      <c r="E7" s="1">
        <v>0.82</v>
      </c>
      <c r="F7" s="1">
        <f>E7*Parameters!$B$8</f>
        <v>3.0011999999999997E-2</v>
      </c>
      <c r="G7" s="1">
        <f>F7*SQRT((0.002/E7)^2+(Parameters!$C$8/Parameters!$B$8)^2)</f>
        <v>1.6825930108020769E-3</v>
      </c>
      <c r="H7" s="1">
        <v>100</v>
      </c>
      <c r="I7" s="1">
        <v>5</v>
      </c>
      <c r="J7" s="1">
        <f>'Count-&gt;Actual Activity'!F7</f>
        <v>28.646161418433412</v>
      </c>
      <c r="K7" s="1">
        <f>'Count-&gt;Actual Activity'!G7</f>
        <v>0.15745067498955981</v>
      </c>
      <c r="L7" s="1">
        <v>10</v>
      </c>
      <c r="M7" s="1">
        <v>0.02</v>
      </c>
      <c r="N7">
        <f t="shared" si="0"/>
        <v>2.8646161418433413</v>
      </c>
      <c r="O7">
        <f t="shared" si="1"/>
        <v>1.6755036648933887E-2</v>
      </c>
      <c r="P7">
        <f>B7*Parameters!$B$6</f>
        <v>320.76777464788734</v>
      </c>
      <c r="Q7">
        <f>SQRT((C7/B7)^2+(Parameters!$C$6/Parameters!$B$6)^2)*'Bottle Results'!P7</f>
        <v>14.211622984040488</v>
      </c>
      <c r="R7">
        <f t="shared" si="2"/>
        <v>1143.0814495386255</v>
      </c>
      <c r="T7">
        <f t="shared" si="3"/>
        <v>0.10695014641421423</v>
      </c>
    </row>
    <row r="8" spans="1:20" ht="15.75" customHeight="1" x14ac:dyDescent="0.25">
      <c r="A8" t="s">
        <v>100</v>
      </c>
      <c r="B8">
        <v>0.34799999999999998</v>
      </c>
      <c r="C8">
        <v>2E-3</v>
      </c>
      <c r="D8" s="1">
        <v>7</v>
      </c>
      <c r="E8" s="1">
        <v>0.82</v>
      </c>
      <c r="F8" s="1">
        <f>E8*Parameters!$B$8</f>
        <v>3.0011999999999997E-2</v>
      </c>
      <c r="G8" s="1">
        <f>F8*SQRT((0.002/E8)^2+(Parameters!$C$8/Parameters!$B$8)^2)</f>
        <v>1.6825930108020769E-3</v>
      </c>
      <c r="H8" s="1">
        <v>100</v>
      </c>
      <c r="I8" s="1">
        <v>5</v>
      </c>
      <c r="J8" s="1">
        <f>'Count-&gt;Actual Activity'!F8</f>
        <v>16.627172205987499</v>
      </c>
      <c r="K8" s="1">
        <f>'Count-&gt;Actual Activity'!G8</f>
        <v>0.15745067498955981</v>
      </c>
      <c r="L8" s="1">
        <v>10</v>
      </c>
      <c r="M8" s="1">
        <v>0.02</v>
      </c>
      <c r="N8">
        <f t="shared" si="0"/>
        <v>1.6627172205987499</v>
      </c>
      <c r="O8">
        <f t="shared" si="1"/>
        <v>1.6092410160363873E-2</v>
      </c>
      <c r="P8">
        <f>B8*Parameters!$B$6</f>
        <v>320.76777464788734</v>
      </c>
      <c r="Q8">
        <f>SQRT((C8/B8)^2+(Parameters!$C$6/Parameters!$B$6)^2)*'Bottle Results'!P8</f>
        <v>14.211622984040488</v>
      </c>
      <c r="R8">
        <f t="shared" si="2"/>
        <v>5147.8092958820589</v>
      </c>
      <c r="T8">
        <f t="shared" si="3"/>
        <v>0.48164455658803468</v>
      </c>
    </row>
    <row r="9" spans="1:20" x14ac:dyDescent="0.25">
      <c r="A9" t="s">
        <v>101</v>
      </c>
      <c r="B9">
        <v>0.34799999999999998</v>
      </c>
      <c r="C9">
        <v>2E-3</v>
      </c>
      <c r="D9" s="1">
        <v>6.97</v>
      </c>
      <c r="E9" s="1">
        <v>0.82</v>
      </c>
      <c r="F9" s="1">
        <f>E9*Parameters!$B$8</f>
        <v>3.0011999999999997E-2</v>
      </c>
      <c r="G9" s="1">
        <f>F9*SQRT((0.002/E9)^2+(Parameters!$C$8/Parameters!$B$8)^2)</f>
        <v>1.6825930108020769E-3</v>
      </c>
      <c r="H9" s="1">
        <v>100</v>
      </c>
      <c r="I9" s="1">
        <v>5</v>
      </c>
      <c r="J9" s="1">
        <f>'Count-&gt;Actual Activity'!F9</f>
        <v>19.452727137453476</v>
      </c>
      <c r="K9" s="1">
        <f>'Count-&gt;Actual Activity'!G9</f>
        <v>0.15745067498955981</v>
      </c>
      <c r="L9" s="1">
        <v>10</v>
      </c>
      <c r="M9" s="1">
        <v>0.02</v>
      </c>
      <c r="N9">
        <f t="shared" si="0"/>
        <v>1.9452727137453476</v>
      </c>
      <c r="O9">
        <f t="shared" si="1"/>
        <v>1.6218615670582023E-2</v>
      </c>
      <c r="P9">
        <f>B9*Parameters!$B$6</f>
        <v>320.76777464788734</v>
      </c>
      <c r="Q9">
        <f>SQRT((C9/B9)^2+(Parameters!$C$6/Parameters!$B$6)^2)*'Bottle Results'!P9</f>
        <v>14.211622984040488</v>
      </c>
      <c r="R9">
        <f t="shared" si="2"/>
        <v>4206.334242081587</v>
      </c>
      <c r="T9">
        <f t="shared" si="3"/>
        <v>0.39355731233266522</v>
      </c>
    </row>
    <row r="10" spans="1:20" x14ac:dyDescent="0.25">
      <c r="A10" t="s">
        <v>102</v>
      </c>
      <c r="B10">
        <v>0.34799999999999998</v>
      </c>
      <c r="C10">
        <v>2E-3</v>
      </c>
      <c r="D10" s="1">
        <v>7</v>
      </c>
      <c r="E10" s="1">
        <v>0.82</v>
      </c>
      <c r="F10" s="1">
        <f>E10*Parameters!$B$8</f>
        <v>3.0011999999999997E-2</v>
      </c>
      <c r="G10" s="1">
        <f>F10*SQRT((0.002/E10)^2+(Parameters!$C$8/Parameters!$B$8)^2)</f>
        <v>1.6825930108020769E-3</v>
      </c>
      <c r="H10" s="1">
        <v>100</v>
      </c>
      <c r="I10" s="1">
        <v>5</v>
      </c>
      <c r="J10" s="1">
        <f>'Count-&gt;Actual Activity'!F10</f>
        <v>21.58154445212714</v>
      </c>
      <c r="K10" s="1">
        <f>'Count-&gt;Actual Activity'!G10</f>
        <v>0.15745067498955981</v>
      </c>
      <c r="L10" s="1">
        <v>10</v>
      </c>
      <c r="M10" s="1">
        <v>0.02</v>
      </c>
      <c r="N10">
        <f t="shared" si="0"/>
        <v>2.1581544452127139</v>
      </c>
      <c r="O10">
        <f t="shared" si="1"/>
        <v>1.6325981532031866E-2</v>
      </c>
      <c r="P10">
        <f>B10*Parameters!$B$6</f>
        <v>320.76777464788734</v>
      </c>
      <c r="Q10">
        <f>SQRT((C10/B10)^2+(Parameters!$C$6/Parameters!$B$6)^2)*'Bottle Results'!P10</f>
        <v>14.211622984040488</v>
      </c>
      <c r="R10">
        <f t="shared" si="2"/>
        <v>3497.0121993407956</v>
      </c>
      <c r="T10">
        <f t="shared" si="3"/>
        <v>0.3271910036531071</v>
      </c>
    </row>
    <row r="11" spans="1:20" x14ac:dyDescent="0.25">
      <c r="A11" t="s">
        <v>103</v>
      </c>
      <c r="B11">
        <v>0.34799999999999998</v>
      </c>
      <c r="C11">
        <v>2E-3</v>
      </c>
      <c r="D11" s="1">
        <v>9.0299999999999994</v>
      </c>
      <c r="E11" s="1">
        <v>0.82</v>
      </c>
      <c r="F11" s="1">
        <f>E11*Parameters!$B$8</f>
        <v>3.0011999999999997E-2</v>
      </c>
      <c r="G11" s="1">
        <f>F11*SQRT((0.002/E11)^2+(Parameters!$C$8/Parameters!$B$8)^2)</f>
        <v>1.6825930108020769E-3</v>
      </c>
      <c r="H11" s="1">
        <v>100</v>
      </c>
      <c r="I11" s="1">
        <v>5</v>
      </c>
      <c r="J11" s="1">
        <f>'Count-&gt;Actual Activity'!F11</f>
        <v>0.34577255417816705</v>
      </c>
      <c r="K11" s="1">
        <f>'Count-&gt;Actual Activity'!G11</f>
        <v>0.15745067498955981</v>
      </c>
      <c r="L11" s="1">
        <v>10</v>
      </c>
      <c r="M11" s="1">
        <v>0.02</v>
      </c>
      <c r="N11">
        <f t="shared" si="0"/>
        <v>3.4577255417816706E-2</v>
      </c>
      <c r="O11">
        <f t="shared" si="1"/>
        <v>1.5745219366304457E-2</v>
      </c>
      <c r="P11">
        <f>B11*Parameters!$B$6</f>
        <v>320.76777464788734</v>
      </c>
      <c r="Q11">
        <f>SQRT((C11/B11)^2+(Parameters!$C$6/Parameters!$B$6)^2)*'Bottle Results'!P11</f>
        <v>14.211622984040488</v>
      </c>
      <c r="R11">
        <f t="shared" si="2"/>
        <v>10572.772527859046</v>
      </c>
      <c r="T11">
        <f t="shared" si="3"/>
        <v>0.98922047096040966</v>
      </c>
    </row>
    <row r="12" spans="1:20" x14ac:dyDescent="0.25">
      <c r="A12" t="s">
        <v>104</v>
      </c>
      <c r="B12">
        <v>0.34799999999999998</v>
      </c>
      <c r="C12">
        <v>2E-3</v>
      </c>
      <c r="D12" s="1">
        <v>9.0299999999999994</v>
      </c>
      <c r="E12" s="1">
        <v>0.82</v>
      </c>
      <c r="F12" s="1">
        <f>E12*Parameters!$B$8</f>
        <v>3.0011999999999997E-2</v>
      </c>
      <c r="G12" s="1">
        <f>F12*SQRT((0.002/E12)^2+(Parameters!$C$8/Parameters!$B$8)^2)</f>
        <v>1.6825930108020769E-3</v>
      </c>
      <c r="H12" s="1">
        <v>100</v>
      </c>
      <c r="I12" s="1">
        <v>5</v>
      </c>
      <c r="J12" s="1">
        <f>'Count-&gt;Actual Activity'!F12</f>
        <v>0.3567834494930493</v>
      </c>
      <c r="K12" s="1">
        <f>'Count-&gt;Actual Activity'!G12</f>
        <v>0.15745067498955981</v>
      </c>
      <c r="L12" s="1">
        <v>10</v>
      </c>
      <c r="M12" s="1">
        <v>0.02</v>
      </c>
      <c r="N12">
        <f t="shared" si="0"/>
        <v>3.5678344949304927E-2</v>
      </c>
      <c r="O12">
        <f t="shared" si="1"/>
        <v>1.5745229192484726E-2</v>
      </c>
      <c r="P12">
        <f>B12*Parameters!$B$6</f>
        <v>320.76777464788734</v>
      </c>
      <c r="Q12">
        <f>SQRT((C12/B12)^2+(Parameters!$C$6/Parameters!$B$6)^2)*'Bottle Results'!P12</f>
        <v>14.211622984040488</v>
      </c>
      <c r="R12">
        <f t="shared" si="2"/>
        <v>10569.103696953114</v>
      </c>
      <c r="T12">
        <f t="shared" si="3"/>
        <v>0.98887720408059399</v>
      </c>
    </row>
    <row r="13" spans="1:20" x14ac:dyDescent="0.25">
      <c r="A13" t="s">
        <v>105</v>
      </c>
      <c r="B13">
        <v>0.34799999999999998</v>
      </c>
      <c r="C13">
        <v>2E-3</v>
      </c>
      <c r="D13" s="1">
        <v>9.0299999999999994</v>
      </c>
      <c r="E13" s="1">
        <v>0.82</v>
      </c>
      <c r="F13" s="1">
        <f>E13*Parameters!$B$8</f>
        <v>3.0011999999999997E-2</v>
      </c>
      <c r="G13" s="1">
        <f>F13*SQRT((0.002/E13)^2+(Parameters!$C$8/Parameters!$B$8)^2)</f>
        <v>1.6825930108020769E-3</v>
      </c>
      <c r="H13" s="1">
        <v>100</v>
      </c>
      <c r="I13" s="1">
        <v>5</v>
      </c>
      <c r="J13" s="1">
        <f>'Count-&gt;Actual Activity'!F13</f>
        <v>0.83250719165169362</v>
      </c>
      <c r="K13" s="1">
        <f>'Count-&gt;Actual Activity'!G13</f>
        <v>0.15745067498955981</v>
      </c>
      <c r="L13" s="1">
        <v>10</v>
      </c>
      <c r="M13" s="1">
        <v>0.02</v>
      </c>
      <c r="N13">
        <f t="shared" si="0"/>
        <v>8.3250719165169365E-2</v>
      </c>
      <c r="O13">
        <f t="shared" si="1"/>
        <v>1.57459478366863E-2</v>
      </c>
      <c r="P13">
        <f>B13*Parameters!$B$6</f>
        <v>320.76777464788734</v>
      </c>
      <c r="Q13">
        <f>SQRT((C13/B13)^2+(Parameters!$C$6/Parameters!$B$6)^2)*'Bottle Results'!P13</f>
        <v>14.211622984040488</v>
      </c>
      <c r="R13">
        <f t="shared" si="2"/>
        <v>10410.592520704065</v>
      </c>
      <c r="T13">
        <f t="shared" si="3"/>
        <v>0.97404642057433755</v>
      </c>
    </row>
    <row r="14" spans="1:20" x14ac:dyDescent="0.25">
      <c r="A14" t="s">
        <v>106</v>
      </c>
      <c r="B14">
        <v>0.34799999999999998</v>
      </c>
      <c r="C14">
        <v>2E-3</v>
      </c>
      <c r="D14" s="1">
        <v>2.98</v>
      </c>
      <c r="F14">
        <v>2.9499999999999998E-2</v>
      </c>
      <c r="G14" s="1">
        <v>2.0000000000000001E-4</v>
      </c>
      <c r="H14" s="1">
        <v>100</v>
      </c>
      <c r="I14" s="1">
        <v>5</v>
      </c>
      <c r="J14" s="1">
        <f>'Count-&gt;Actual Activity'!F14</f>
        <v>8.4856100810521511</v>
      </c>
      <c r="K14" s="1">
        <f>'Count-&gt;Actual Activity'!G14</f>
        <v>0.15745067498955981</v>
      </c>
      <c r="L14" s="1">
        <v>10</v>
      </c>
      <c r="M14" s="1">
        <v>0.02</v>
      </c>
      <c r="N14">
        <f t="shared" si="0"/>
        <v>0.84856100810521506</v>
      </c>
      <c r="O14">
        <f t="shared" si="1"/>
        <v>1.5836267669011726E-2</v>
      </c>
      <c r="P14">
        <f>B14*Parameters!$B$6</f>
        <v>320.76777464788734</v>
      </c>
      <c r="Q14">
        <f>SQRT((C14/B14)^2+(Parameters!$C$6/Parameters!$B$6)^2)*'Bottle Results'!P14</f>
        <v>14.211622984040488</v>
      </c>
      <c r="R14">
        <f t="shared" si="2"/>
        <v>7997.0058927920618</v>
      </c>
      <c r="T14">
        <f t="shared" si="3"/>
        <v>0.73545939612023181</v>
      </c>
    </row>
    <row r="15" spans="1:20" x14ac:dyDescent="0.25">
      <c r="A15" t="s">
        <v>107</v>
      </c>
      <c r="B15">
        <v>0.34799999999999998</v>
      </c>
      <c r="C15">
        <v>2E-3</v>
      </c>
      <c r="D15" s="1">
        <v>3.02</v>
      </c>
      <c r="F15">
        <v>0.03</v>
      </c>
      <c r="G15" s="1">
        <v>2.0000000000000001E-4</v>
      </c>
      <c r="H15" s="1">
        <v>100</v>
      </c>
      <c r="I15" s="1">
        <v>5</v>
      </c>
      <c r="J15" s="1">
        <f>'Count-&gt;Actual Activity'!F15</f>
        <v>8.5480935954293731</v>
      </c>
      <c r="K15" s="1">
        <f>'Count-&gt;Actual Activity'!G15</f>
        <v>0.15745067498955981</v>
      </c>
      <c r="L15" s="1">
        <v>10</v>
      </c>
      <c r="M15" s="1">
        <v>0.02</v>
      </c>
      <c r="N15">
        <f t="shared" si="0"/>
        <v>0.85480935954293735</v>
      </c>
      <c r="O15">
        <f t="shared" si="1"/>
        <v>1.5837611774233158E-2</v>
      </c>
      <c r="P15">
        <f>B15*Parameters!$B$6</f>
        <v>320.76777464788734</v>
      </c>
      <c r="Q15">
        <f>SQRT((C15/B15)^2+(Parameters!$C$6/Parameters!$B$6)^2)*'Bottle Results'!P15</f>
        <v>14.211622984040488</v>
      </c>
      <c r="R15">
        <f t="shared" si="2"/>
        <v>7842.894623119787</v>
      </c>
      <c r="T15">
        <f t="shared" si="3"/>
        <v>0.73351145997091594</v>
      </c>
    </row>
    <row r="16" spans="1:20" x14ac:dyDescent="0.25">
      <c r="A16" t="s">
        <v>108</v>
      </c>
      <c r="B16">
        <v>0.34799999999999998</v>
      </c>
      <c r="C16">
        <v>2E-3</v>
      </c>
      <c r="D16" s="1">
        <v>2.98</v>
      </c>
      <c r="F16">
        <v>3.04E-2</v>
      </c>
      <c r="G16" s="1">
        <v>2.0000000000000001E-4</v>
      </c>
      <c r="H16" s="1">
        <v>100</v>
      </c>
      <c r="I16" s="1">
        <v>5</v>
      </c>
      <c r="J16" s="1">
        <f>'Count-&gt;Actual Activity'!F16</f>
        <v>8.2834341237041933</v>
      </c>
      <c r="K16" s="1">
        <f>'Count-&gt;Actual Activity'!G16</f>
        <v>0.15745067498955981</v>
      </c>
      <c r="L16" s="1">
        <v>10</v>
      </c>
      <c r="M16" s="1">
        <v>0.02</v>
      </c>
      <c r="N16">
        <f t="shared" si="0"/>
        <v>0.82834341237041931</v>
      </c>
      <c r="O16">
        <f t="shared" si="1"/>
        <v>1.5831985402404519E-2</v>
      </c>
      <c r="P16">
        <f>B16*Parameters!$B$6</f>
        <v>320.76777464788734</v>
      </c>
      <c r="Q16">
        <f>SQRT((C16/B16)^2+(Parameters!$C$6/Parameters!$B$6)^2)*'Bottle Results'!P16</f>
        <v>14.211622984040488</v>
      </c>
      <c r="R16">
        <f t="shared" si="2"/>
        <v>7826.7576779883357</v>
      </c>
      <c r="T16">
        <f t="shared" si="3"/>
        <v>0.74176227232311376</v>
      </c>
    </row>
    <row r="17" spans="1:20" x14ac:dyDescent="0.25">
      <c r="A17" t="s">
        <v>109</v>
      </c>
      <c r="B17">
        <v>0.34799999999999998</v>
      </c>
      <c r="C17">
        <v>2E-3</v>
      </c>
      <c r="D17" s="1">
        <v>5.01</v>
      </c>
      <c r="F17">
        <v>3.0600000000000002E-2</v>
      </c>
      <c r="G17" s="1">
        <v>2.0000000000000001E-4</v>
      </c>
      <c r="H17" s="1">
        <v>100</v>
      </c>
      <c r="I17" s="1">
        <v>5</v>
      </c>
      <c r="J17" s="1">
        <f>'Count-&gt;Actual Activity'!F17</f>
        <v>3.9041490003358126</v>
      </c>
      <c r="K17" s="1">
        <f>'Count-&gt;Actual Activity'!G17</f>
        <v>0.15745067498955981</v>
      </c>
      <c r="L17" s="1">
        <v>10</v>
      </c>
      <c r="M17" s="1">
        <v>0.02</v>
      </c>
      <c r="N17">
        <f t="shared" si="0"/>
        <v>0.39041490003358126</v>
      </c>
      <c r="O17">
        <f t="shared" si="1"/>
        <v>1.576441707527915E-2</v>
      </c>
      <c r="P17">
        <f>B17*Parameters!$B$6</f>
        <v>320.76777464788734</v>
      </c>
      <c r="Q17">
        <f>SQRT((C17/B17)^2+(Parameters!$C$6/Parameters!$B$6)^2)*'Bottle Results'!P17</f>
        <v>14.211622984040488</v>
      </c>
      <c r="R17">
        <f t="shared" si="2"/>
        <v>9206.7413282525868</v>
      </c>
      <c r="T17">
        <f t="shared" si="3"/>
        <v>0.87828736834236321</v>
      </c>
    </row>
    <row r="18" spans="1:20" x14ac:dyDescent="0.25">
      <c r="A18" t="s">
        <v>110</v>
      </c>
      <c r="B18">
        <v>0.34799999999999998</v>
      </c>
      <c r="C18">
        <v>2E-3</v>
      </c>
      <c r="D18" s="1">
        <v>5.0199999999999996</v>
      </c>
      <c r="F18">
        <v>3.0300000000000001E-2</v>
      </c>
      <c r="G18" s="1">
        <v>2.0000000000000001E-4</v>
      </c>
      <c r="H18" s="1">
        <v>100</v>
      </c>
      <c r="I18" s="1">
        <v>5</v>
      </c>
      <c r="J18" s="1">
        <f>'Count-&gt;Actual Activity'!F18</f>
        <v>4.0021857670550665</v>
      </c>
      <c r="K18" s="1">
        <f>'Count-&gt;Actual Activity'!G18</f>
        <v>0.15745067498955981</v>
      </c>
      <c r="L18" s="1">
        <v>10</v>
      </c>
      <c r="M18" s="1">
        <v>0.02</v>
      </c>
      <c r="N18">
        <f t="shared" si="0"/>
        <v>0.40021857670550665</v>
      </c>
      <c r="O18">
        <f t="shared" si="1"/>
        <v>1.5765400413032354E-2</v>
      </c>
      <c r="P18">
        <f>B18*Parameters!$B$6</f>
        <v>320.76777464788734</v>
      </c>
      <c r="Q18">
        <f>SQRT((C18/B18)^2+(Parameters!$C$6/Parameters!$B$6)^2)*'Bottle Results'!P18</f>
        <v>14.211622984040488</v>
      </c>
      <c r="R18">
        <f t="shared" si="2"/>
        <v>9265.5418144335526</v>
      </c>
      <c r="T18">
        <f t="shared" si="3"/>
        <v>0.87523105238834109</v>
      </c>
    </row>
    <row r="19" spans="1:20" x14ac:dyDescent="0.25">
      <c r="A19" t="s">
        <v>111</v>
      </c>
      <c r="B19">
        <v>0.34799999999999998</v>
      </c>
      <c r="C19">
        <v>2E-3</v>
      </c>
      <c r="D19" s="1">
        <v>5.03</v>
      </c>
      <c r="F19">
        <v>3.0100000000000002E-2</v>
      </c>
      <c r="G19" s="1">
        <v>2.0000000000000001E-4</v>
      </c>
      <c r="H19" s="1">
        <v>100</v>
      </c>
      <c r="I19" s="1">
        <v>5</v>
      </c>
      <c r="J19" s="1">
        <f>'Count-&gt;Actual Activity'!F19</f>
        <v>4.0061656087351443</v>
      </c>
      <c r="K19" s="1">
        <f>'Count-&gt;Actual Activity'!G19</f>
        <v>0.15745067498955981</v>
      </c>
      <c r="L19" s="1">
        <v>10</v>
      </c>
      <c r="M19" s="1">
        <v>0.02</v>
      </c>
      <c r="N19">
        <f t="shared" si="0"/>
        <v>0.40061656087351444</v>
      </c>
      <c r="O19">
        <f t="shared" si="1"/>
        <v>1.5765440845788754E-2</v>
      </c>
      <c r="P19">
        <f>B19*Parameters!$B$6</f>
        <v>320.76777464788734</v>
      </c>
      <c r="Q19">
        <f>SQRT((C19/B19)^2+(Parameters!$C$6/Parameters!$B$6)^2)*'Bottle Results'!P19</f>
        <v>14.211622984040488</v>
      </c>
      <c r="R19">
        <f t="shared" si="2"/>
        <v>9325.7846697852456</v>
      </c>
      <c r="T19">
        <f t="shared" si="3"/>
        <v>0.87510698002214271</v>
      </c>
    </row>
    <row r="20" spans="1:20" x14ac:dyDescent="0.25">
      <c r="A20" t="s">
        <v>112</v>
      </c>
      <c r="B20">
        <v>0.34799999999999998</v>
      </c>
      <c r="C20">
        <v>2E-3</v>
      </c>
      <c r="D20" s="1">
        <v>7</v>
      </c>
      <c r="F20">
        <v>3.0499999999999999E-2</v>
      </c>
      <c r="G20" s="1">
        <v>2.0000000000000001E-4</v>
      </c>
      <c r="H20" s="1">
        <v>100</v>
      </c>
      <c r="I20" s="1">
        <v>5</v>
      </c>
      <c r="J20" s="1">
        <f>'Count-&gt;Actual Activity'!F20</f>
        <v>4.0613527466988897</v>
      </c>
      <c r="K20" s="1">
        <f>'Count-&gt;Actual Activity'!G20</f>
        <v>0.15745067498955981</v>
      </c>
      <c r="L20" s="1">
        <v>10</v>
      </c>
      <c r="M20" s="1">
        <v>0.02</v>
      </c>
      <c r="N20">
        <f t="shared" si="0"/>
        <v>0.40613527466988897</v>
      </c>
      <c r="O20">
        <f t="shared" si="1"/>
        <v>1.5766005644804414E-2</v>
      </c>
      <c r="P20">
        <f>B20*Parameters!$B$6</f>
        <v>320.76777464788734</v>
      </c>
      <c r="Q20">
        <f>SQRT((C20/B20)^2+(Parameters!$C$6/Parameters!$B$6)^2)*'Bottle Results'!P20</f>
        <v>14.211622984040488</v>
      </c>
      <c r="R20">
        <f t="shared" si="2"/>
        <v>9185.3851534720798</v>
      </c>
      <c r="T20">
        <f t="shared" si="3"/>
        <v>0.87338650987752398</v>
      </c>
    </row>
    <row r="21" spans="1:20" x14ac:dyDescent="0.25">
      <c r="A21" t="s">
        <v>113</v>
      </c>
      <c r="B21">
        <v>0.34799999999999998</v>
      </c>
      <c r="C21">
        <v>2E-3</v>
      </c>
      <c r="D21" s="1">
        <v>7.02</v>
      </c>
      <c r="F21">
        <v>2.9700000000000001E-2</v>
      </c>
      <c r="G21" s="1">
        <v>2.0000000000000001E-4</v>
      </c>
      <c r="H21" s="1">
        <v>100</v>
      </c>
      <c r="I21" s="1">
        <v>5</v>
      </c>
      <c r="J21" s="1">
        <f>'Count-&gt;Actual Activity'!F21</f>
        <v>4.4990026701181227</v>
      </c>
      <c r="K21" s="1">
        <f>'Count-&gt;Actual Activity'!G21</f>
        <v>0.15745067498955981</v>
      </c>
      <c r="L21" s="1">
        <v>10</v>
      </c>
      <c r="M21" s="1">
        <v>0.02</v>
      </c>
      <c r="N21">
        <f t="shared" si="0"/>
        <v>0.44990026701181229</v>
      </c>
      <c r="O21">
        <f t="shared" si="1"/>
        <v>1.5770757481735277E-2</v>
      </c>
      <c r="P21">
        <f>B21*Parameters!$B$6</f>
        <v>320.76777464788734</v>
      </c>
      <c r="Q21">
        <f>SQRT((C21/B21)^2+(Parameters!$C$6/Parameters!$B$6)^2)*'Bottle Results'!P21</f>
        <v>14.211622984040488</v>
      </c>
      <c r="R21">
        <f t="shared" si="2"/>
        <v>9285.4460588116526</v>
      </c>
      <c r="T21">
        <f t="shared" si="3"/>
        <v>0.85974268534123288</v>
      </c>
    </row>
    <row r="22" spans="1:20" x14ac:dyDescent="0.25">
      <c r="A22" t="s">
        <v>114</v>
      </c>
      <c r="B22">
        <v>0.34799999999999998</v>
      </c>
      <c r="C22">
        <v>2E-3</v>
      </c>
      <c r="D22" s="1">
        <v>7</v>
      </c>
      <c r="F22">
        <v>3.0499999999999999E-2</v>
      </c>
      <c r="G22" s="1">
        <v>2.0000000000000001E-4</v>
      </c>
      <c r="H22" s="1">
        <v>100</v>
      </c>
      <c r="I22" s="1">
        <v>5</v>
      </c>
      <c r="J22" s="1">
        <f>'Count-&gt;Actual Activity'!F22</f>
        <v>4.0829765531606466</v>
      </c>
      <c r="K22" s="1">
        <f>'Count-&gt;Actual Activity'!G22</f>
        <v>0.15745067498955981</v>
      </c>
      <c r="L22" s="1">
        <v>10</v>
      </c>
      <c r="M22" s="1">
        <v>0.02</v>
      </c>
      <c r="N22">
        <f t="shared" si="0"/>
        <v>0.40829765531606466</v>
      </c>
      <c r="O22">
        <f t="shared" si="1"/>
        <v>1.5766229049713386E-2</v>
      </c>
      <c r="P22">
        <f>B22*Parameters!$B$6</f>
        <v>320.76777464788734</v>
      </c>
      <c r="Q22">
        <f>SQRT((C22/B22)^2+(Parameters!$C$6/Parameters!$B$6)^2)*'Bottle Results'!P22</f>
        <v>14.211622984040488</v>
      </c>
      <c r="R22">
        <f t="shared" si="2"/>
        <v>9178.2953808616676</v>
      </c>
      <c r="T22">
        <f t="shared" si="3"/>
        <v>0.87271238335451229</v>
      </c>
    </row>
    <row r="23" spans="1:20" x14ac:dyDescent="0.25">
      <c r="A23" t="s">
        <v>115</v>
      </c>
      <c r="B23">
        <v>0.34799999999999998</v>
      </c>
      <c r="C23">
        <v>2E-3</v>
      </c>
      <c r="D23" s="1">
        <v>9.02</v>
      </c>
      <c r="F23">
        <v>3.0300000000000001E-2</v>
      </c>
      <c r="G23" s="1">
        <v>2.0000000000000001E-4</v>
      </c>
      <c r="H23" s="1">
        <v>100</v>
      </c>
      <c r="I23" s="1">
        <v>5</v>
      </c>
      <c r="J23" s="1">
        <f>'Count-&gt;Actual Activity'!F23</f>
        <v>4.0255341715781885</v>
      </c>
      <c r="K23" s="1">
        <f>'Count-&gt;Actual Activity'!G23</f>
        <v>0.15745067498955981</v>
      </c>
      <c r="L23" s="1">
        <v>10</v>
      </c>
      <c r="M23" s="1">
        <v>0.02</v>
      </c>
      <c r="N23">
        <f t="shared" si="0"/>
        <v>0.40255341715781884</v>
      </c>
      <c r="O23">
        <f t="shared" si="1"/>
        <v>1.5765638190740699E-2</v>
      </c>
      <c r="P23">
        <f>B23*Parameters!$B$6</f>
        <v>320.76777464788734</v>
      </c>
      <c r="Q23">
        <f>SQRT((C23/B23)^2+(Parameters!$C$6/Parameters!$B$6)^2)*'Bottle Results'!P23</f>
        <v>14.211622984040488</v>
      </c>
      <c r="R23">
        <f t="shared" si="2"/>
        <v>9257.8360703665167</v>
      </c>
      <c r="T23">
        <f t="shared" si="3"/>
        <v>0.87450316117331017</v>
      </c>
    </row>
    <row r="24" spans="1:20" x14ac:dyDescent="0.25">
      <c r="A24" t="s">
        <v>116</v>
      </c>
      <c r="B24">
        <v>0.34799999999999998</v>
      </c>
      <c r="C24">
        <v>2E-3</v>
      </c>
      <c r="D24" s="1">
        <v>9.0500000000000007</v>
      </c>
      <c r="F24">
        <v>3.0300000000000001E-2</v>
      </c>
      <c r="G24" s="1">
        <v>2.0000000000000001E-4</v>
      </c>
      <c r="H24" s="1">
        <v>100</v>
      </c>
      <c r="I24" s="1">
        <v>5</v>
      </c>
      <c r="J24" s="1">
        <f>'Count-&gt;Actual Activity'!F24</f>
        <v>3.0437072291029716</v>
      </c>
      <c r="K24" s="1">
        <f>'Count-&gt;Actual Activity'!G24</f>
        <v>0.15745067498955981</v>
      </c>
      <c r="L24" s="1">
        <v>10</v>
      </c>
      <c r="M24" s="1">
        <v>0.02</v>
      </c>
      <c r="N24">
        <f t="shared" si="0"/>
        <v>0.30437072291029715</v>
      </c>
      <c r="O24">
        <f t="shared" si="1"/>
        <v>1.5756830794755008E-2</v>
      </c>
      <c r="P24">
        <f>B24*Parameters!$B$6</f>
        <v>320.76777464788734</v>
      </c>
      <c r="Q24">
        <f>SQRT((C24/B24)^2+(Parameters!$C$6/Parameters!$B$6)^2)*'Bottle Results'!P24</f>
        <v>14.211622984040488</v>
      </c>
      <c r="R24">
        <f t="shared" si="2"/>
        <v>9581.8713649127931</v>
      </c>
      <c r="T24">
        <f t="shared" si="3"/>
        <v>0.90511181391447115</v>
      </c>
    </row>
    <row r="25" spans="1:20" x14ac:dyDescent="0.25">
      <c r="A25" t="s">
        <v>117</v>
      </c>
      <c r="B25">
        <v>0.34799999999999998</v>
      </c>
      <c r="C25">
        <v>2E-3</v>
      </c>
      <c r="D25" s="1">
        <v>9.01</v>
      </c>
      <c r="F25">
        <v>2.9899999999999999E-2</v>
      </c>
      <c r="G25" s="1">
        <v>2.0000000000000001E-4</v>
      </c>
      <c r="H25" s="1">
        <v>100</v>
      </c>
      <c r="I25" s="1">
        <v>5</v>
      </c>
      <c r="J25" s="1">
        <f>'Count-&gt;Actual Activity'!F25</f>
        <v>4.2143113286032179</v>
      </c>
      <c r="K25" s="1">
        <f>'Count-&gt;Actual Activity'!G25</f>
        <v>0.15745067498955981</v>
      </c>
      <c r="L25" s="1">
        <v>10</v>
      </c>
      <c r="M25" s="1">
        <v>0.02</v>
      </c>
      <c r="N25">
        <f t="shared" si="0"/>
        <v>0.4214311328603218</v>
      </c>
      <c r="O25">
        <f t="shared" si="1"/>
        <v>1.5767611339250334E-2</v>
      </c>
      <c r="P25">
        <f>B25*Parameters!$B$6</f>
        <v>320.76777464788734</v>
      </c>
      <c r="Q25">
        <f>SQRT((C25/B25)^2+(Parameters!$C$6/Parameters!$B$6)^2)*'Bottle Results'!P25</f>
        <v>14.211622984040488</v>
      </c>
      <c r="R25">
        <f t="shared" si="2"/>
        <v>9318.5505472192363</v>
      </c>
      <c r="T25">
        <f t="shared" si="3"/>
        <v>0.86861799526996297</v>
      </c>
    </row>
    <row r="26" spans="1:20" x14ac:dyDescent="0.25">
      <c r="A26" t="s">
        <v>118</v>
      </c>
      <c r="B26">
        <v>0.34799999999999998</v>
      </c>
      <c r="C26">
        <v>2E-3</v>
      </c>
      <c r="D26">
        <v>2.99</v>
      </c>
      <c r="E26" s="1"/>
      <c r="F26">
        <v>0</v>
      </c>
      <c r="G26" s="1">
        <v>0</v>
      </c>
      <c r="H26" s="1">
        <v>100</v>
      </c>
      <c r="I26" s="1">
        <v>5</v>
      </c>
      <c r="J26" s="1">
        <f>'Count-&gt;Actual Activity'!F26</f>
        <v>29.130508150898894</v>
      </c>
      <c r="K26" s="1">
        <f>'Count-&gt;Actual Activity'!G26</f>
        <v>0.15745067498955981</v>
      </c>
      <c r="L26" s="1">
        <v>10</v>
      </c>
      <c r="M26" s="1">
        <v>0.02</v>
      </c>
      <c r="N26">
        <f t="shared" si="0"/>
        <v>2.9130508150898895</v>
      </c>
      <c r="O26">
        <f t="shared" si="1"/>
        <v>1.6788407034375341E-2</v>
      </c>
      <c r="P26">
        <f>B26*Parameters!$B$6</f>
        <v>320.76777464788734</v>
      </c>
      <c r="Q26">
        <f>SQRT((C26/B26)^2+(Parameters!$C$6/Parameters!$B$6)^2)*'Bottle Results'!P26</f>
        <v>14.211622984040488</v>
      </c>
      <c r="R26" t="e">
        <f t="shared" si="2"/>
        <v>#DIV/0!</v>
      </c>
      <c r="T26">
        <f t="shared" si="3"/>
        <v>9.1850539447861035E-2</v>
      </c>
    </row>
    <row r="27" spans="1:20" x14ac:dyDescent="0.25">
      <c r="A27" t="s">
        <v>119</v>
      </c>
      <c r="B27">
        <v>0.34799999999999998</v>
      </c>
      <c r="C27">
        <v>2E-3</v>
      </c>
      <c r="D27">
        <v>5</v>
      </c>
      <c r="F27">
        <v>0</v>
      </c>
      <c r="G27" s="1">
        <v>0</v>
      </c>
      <c r="H27" s="1">
        <v>100</v>
      </c>
      <c r="I27" s="1">
        <v>5</v>
      </c>
      <c r="J27" s="1">
        <f>'Count-&gt;Actual Activity'!F27</f>
        <v>28.40803422457541</v>
      </c>
      <c r="K27" s="1">
        <f>'Count-&gt;Actual Activity'!G27</f>
        <v>0.15745067498955981</v>
      </c>
      <c r="L27" s="1">
        <v>10</v>
      </c>
      <c r="M27" s="1">
        <v>0.02</v>
      </c>
      <c r="N27">
        <f t="shared" si="0"/>
        <v>2.8408034224575411</v>
      </c>
      <c r="O27">
        <f t="shared" si="1"/>
        <v>1.6738811394088469E-2</v>
      </c>
      <c r="P27">
        <f>B27*Parameters!$B$6</f>
        <v>320.76777464788734</v>
      </c>
      <c r="Q27">
        <f>SQRT((C27/B27)^2+(Parameters!$C$6/Parameters!$B$6)^2)*'Bottle Results'!P27</f>
        <v>14.211622984040488</v>
      </c>
      <c r="R27" t="e">
        <f t="shared" si="2"/>
        <v>#DIV/0!</v>
      </c>
      <c r="T27">
        <f t="shared" si="3"/>
        <v>0.11437380965842241</v>
      </c>
    </row>
    <row r="28" spans="1:20" x14ac:dyDescent="0.25">
      <c r="A28" t="s">
        <v>120</v>
      </c>
      <c r="B28">
        <v>0.34799999999999998</v>
      </c>
      <c r="C28">
        <v>2E-3</v>
      </c>
      <c r="D28">
        <v>7.01</v>
      </c>
      <c r="F28">
        <v>0</v>
      </c>
      <c r="G28" s="1">
        <v>0</v>
      </c>
      <c r="H28" s="1">
        <v>100</v>
      </c>
      <c r="I28" s="1">
        <v>5</v>
      </c>
      <c r="J28" s="1">
        <f>'Count-&gt;Actual Activity'!F28</f>
        <v>25.973167084703753</v>
      </c>
      <c r="K28" s="1">
        <f>'Count-&gt;Actual Activity'!G28</f>
        <v>0.15745067498955981</v>
      </c>
      <c r="L28" s="1">
        <v>10</v>
      </c>
      <c r="M28" s="1">
        <v>0.02</v>
      </c>
      <c r="N28">
        <f t="shared" si="0"/>
        <v>2.5973167084703754</v>
      </c>
      <c r="O28">
        <f t="shared" si="1"/>
        <v>1.657984821652712E-2</v>
      </c>
      <c r="P28">
        <f>B28*Parameters!$B$6</f>
        <v>320.76777464788734</v>
      </c>
      <c r="Q28">
        <f>SQRT((C28/B28)^2+(Parameters!$C$6/Parameters!$B$6)^2)*'Bottle Results'!P28</f>
        <v>14.211622984040488</v>
      </c>
      <c r="R28" t="e">
        <f t="shared" si="2"/>
        <v>#DIV/0!</v>
      </c>
      <c r="T28">
        <f t="shared" si="3"/>
        <v>0.19028128329864258</v>
      </c>
    </row>
    <row r="29" spans="1:20" x14ac:dyDescent="0.25">
      <c r="A29" t="s">
        <v>121</v>
      </c>
      <c r="B29">
        <v>0.34799999999999998</v>
      </c>
      <c r="C29">
        <v>2E-3</v>
      </c>
      <c r="D29">
        <v>9.01</v>
      </c>
      <c r="F29">
        <v>0</v>
      </c>
      <c r="G29" s="1">
        <v>0</v>
      </c>
      <c r="H29" s="1">
        <v>100</v>
      </c>
      <c r="I29" s="1">
        <v>5</v>
      </c>
      <c r="J29" s="1">
        <f>'Count-&gt;Actual Activity'!F29</f>
        <v>26.739949915065434</v>
      </c>
      <c r="K29" s="1">
        <f>'Count-&gt;Actual Activity'!G29</f>
        <v>0.15745067498955981</v>
      </c>
      <c r="L29" s="1">
        <v>10</v>
      </c>
      <c r="M29" s="1">
        <v>0.02</v>
      </c>
      <c r="N29">
        <f t="shared" si="0"/>
        <v>2.6739949915065435</v>
      </c>
      <c r="O29">
        <f t="shared" si="1"/>
        <v>1.6628534132781769E-2</v>
      </c>
      <c r="P29">
        <f>B29*Parameters!$B$6</f>
        <v>320.76777464788734</v>
      </c>
      <c r="Q29">
        <f>SQRT((C29/B29)^2+(Parameters!$C$6/Parameters!$B$6)^2)*'Bottle Results'!P29</f>
        <v>14.211622984040488</v>
      </c>
      <c r="R29" t="e">
        <f t="shared" si="2"/>
        <v>#DIV/0!</v>
      </c>
      <c r="T29">
        <f t="shared" si="3"/>
        <v>0.16637667407773829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="85" zoomScaleNormal="85" workbookViewId="0">
      <selection activeCell="B9" sqref="B9:M9"/>
    </sheetView>
  </sheetViews>
  <sheetFormatPr defaultRowHeight="15" x14ac:dyDescent="0.25"/>
  <cols>
    <col min="1" max="1" width="13.42578125" bestFit="1" customWidth="1"/>
    <col min="2" max="2" width="12" bestFit="1" customWidth="1"/>
    <col min="3" max="3" width="12.140625" bestFit="1" customWidth="1"/>
    <col min="4" max="10" width="12" bestFit="1" customWidth="1"/>
    <col min="11" max="11" width="11.7109375" bestFit="1" customWidth="1"/>
    <col min="12" max="12" width="12.5703125" bestFit="1" customWidth="1"/>
    <col min="13" max="14" width="6.28515625" bestFit="1" customWidth="1"/>
  </cols>
  <sheetData>
    <row r="1" spans="1:14" x14ac:dyDescent="0.25">
      <c r="A1" t="s">
        <v>15</v>
      </c>
      <c r="B1" t="s">
        <v>29</v>
      </c>
      <c r="C1" t="s">
        <v>87</v>
      </c>
      <c r="D1" t="s">
        <v>31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146</v>
      </c>
      <c r="L1" t="s">
        <v>147</v>
      </c>
      <c r="M1" t="s">
        <v>145</v>
      </c>
      <c r="N1" t="s">
        <v>7</v>
      </c>
    </row>
    <row r="2" spans="1:14" x14ac:dyDescent="0.25">
      <c r="A2" t="s">
        <v>128</v>
      </c>
      <c r="B2">
        <f>AVERAGE('Bottle Results'!N2:N4)</f>
        <v>2.836354843868476</v>
      </c>
      <c r="C2">
        <f>_xlfn.STDEV.S('Bottle Results'!N2:N4)</f>
        <v>6.1182514211824773E-2</v>
      </c>
      <c r="D2">
        <f>AVERAGE('Bottle Results'!R2:R4)</f>
        <v>1237.2481094575407</v>
      </c>
      <c r="E2">
        <f>_xlfn.STDEV.S('Bottle Results'!R2:R4)</f>
        <v>203.86016997142852</v>
      </c>
      <c r="F2">
        <f>AVERAGE('Bottle Results'!P2:P4)</f>
        <v>320.76777464788734</v>
      </c>
      <c r="G2">
        <f>AVERAGE('Bottle Results'!T2:T4)</f>
        <v>0.11576066299615199</v>
      </c>
      <c r="H2">
        <f>_xlfn.STDEV.S('Bottle Results'!T2:T4)</f>
        <v>1.907377207045996E-2</v>
      </c>
      <c r="I2">
        <f>AVERAGE('Bottle Results'!D2:D4)</f>
        <v>2.99</v>
      </c>
      <c r="J2">
        <f>_xlfn.STDEV.S('Bottle Results'!D2:D4)</f>
        <v>0</v>
      </c>
      <c r="K2">
        <f>AVERAGE('Bottle Results'!F2:F4)</f>
        <v>3.0011999999999997E-2</v>
      </c>
      <c r="L2">
        <f>_xlfn.STDEV.S('Bottle Results'!F2:F4)</f>
        <v>0</v>
      </c>
      <c r="M2">
        <f>COUNT('Bottle Results'!J2:J4)</f>
        <v>3</v>
      </c>
    </row>
    <row r="3" spans="1:14" x14ac:dyDescent="0.25">
      <c r="A3" t="s">
        <v>129</v>
      </c>
      <c r="B3">
        <f>AVERAGE('Bottle Results'!N5:N7)</f>
        <v>2.8070720531957254</v>
      </c>
      <c r="C3">
        <f>_xlfn.STDEV.S('Bottle Results'!N5:N7)</f>
        <v>5.3673001843873143E-2</v>
      </c>
      <c r="D3">
        <f>AVERAGE('Bottle Results'!R5:R7)</f>
        <v>1334.8183835903908</v>
      </c>
      <c r="E3">
        <f>_xlfn.STDEV.S('Bottle Results'!R5:R7)</f>
        <v>178.83847075794205</v>
      </c>
      <c r="F3">
        <f>AVERAGE('Bottle Results'!P5:P7)</f>
        <v>320.76777464788734</v>
      </c>
      <c r="G3">
        <f>AVERAGE('Bottle Results'!T5:T7)</f>
        <v>0.12488963198466563</v>
      </c>
      <c r="H3">
        <f>_xlfn.STDEV.S('Bottle Results'!T5:T7)</f>
        <v>1.6732666460273611E-2</v>
      </c>
      <c r="I3">
        <f>AVERAGE('Bottle Results'!D5:D7)</f>
        <v>5.0199999999999996</v>
      </c>
      <c r="J3">
        <f>_xlfn.STDEV.S('Bottle Results'!D5:D7)</f>
        <v>1.0000000000000231E-2</v>
      </c>
      <c r="K3">
        <f>AVERAGE('Bottle Results'!F5:F7)</f>
        <v>3.0011999999999997E-2</v>
      </c>
      <c r="L3">
        <f>_xlfn.STDEV.S('Bottle Results'!F5:F7)</f>
        <v>0</v>
      </c>
      <c r="M3">
        <f>COUNT('Bottle Results'!J5:J7)</f>
        <v>3</v>
      </c>
    </row>
    <row r="4" spans="1:14" x14ac:dyDescent="0.25">
      <c r="A4" t="s">
        <v>130</v>
      </c>
      <c r="B4">
        <f>AVERAGE('Bottle Results'!N8:N10)</f>
        <v>1.9220481265189371</v>
      </c>
      <c r="C4">
        <f>_xlfn.STDEV.S('Bottle Results'!N8:N10)</f>
        <v>0.24853379442678503</v>
      </c>
      <c r="D4">
        <f>AVERAGE('Bottle Results'!R8:R10)</f>
        <v>4283.7185791014808</v>
      </c>
      <c r="E4">
        <f>_xlfn.STDEV.S('Bottle Results'!R8:R10)</f>
        <v>828.11473552840118</v>
      </c>
      <c r="F4">
        <f>AVERAGE('Bottle Results'!P8:P10)</f>
        <v>320.76777464788734</v>
      </c>
      <c r="G4">
        <f>AVERAGE('Bottle Results'!T8:T10)</f>
        <v>0.40079762419126902</v>
      </c>
      <c r="H4">
        <f>_xlfn.STDEV.S('Bottle Results'!T8:T10)</f>
        <v>7.7480911135666117E-2</v>
      </c>
      <c r="I4">
        <f>AVERAGE('Bottle Results'!D8:D10)</f>
        <v>6.9899999999999993</v>
      </c>
      <c r="J4">
        <f>_xlfn.STDEV.S('Bottle Results'!D8:D10)</f>
        <v>1.7320508075688915E-2</v>
      </c>
      <c r="K4">
        <f>AVERAGE('Bottle Results'!F8:F10)</f>
        <v>3.0011999999999997E-2</v>
      </c>
      <c r="L4">
        <f>_xlfn.STDEV.S('Bottle Results'!F8:F10)</f>
        <v>0</v>
      </c>
      <c r="M4">
        <f>COUNT('Bottle Results'!J8:J10)</f>
        <v>3</v>
      </c>
    </row>
    <row r="5" spans="1:14" x14ac:dyDescent="0.25">
      <c r="A5" t="s">
        <v>131</v>
      </c>
      <c r="B5">
        <f>AVERAGE('Bottle Results'!N11:N13)</f>
        <v>5.1168773177430328E-2</v>
      </c>
      <c r="C5">
        <f>_xlfn.STDEV.S('Bottle Results'!N11:N13)</f>
        <v>2.7789234305918582E-2</v>
      </c>
      <c r="D5">
        <f>AVERAGE('Bottle Results'!R11:R13)</f>
        <v>10517.489581838743</v>
      </c>
      <c r="E5">
        <f>_xlfn.STDEV.S('Bottle Results'!R11:R13)</f>
        <v>92.593743522319812</v>
      </c>
      <c r="F5">
        <f>AVERAGE('Bottle Results'!P11:P13)</f>
        <v>320.76777464788734</v>
      </c>
      <c r="G5">
        <f>AVERAGE('Bottle Results'!T11:T13)</f>
        <v>0.98404803187178036</v>
      </c>
      <c r="H5">
        <f>_xlfn.STDEV.S('Bottle Results'!T11:T13)</f>
        <v>8.6633497820731535E-3</v>
      </c>
      <c r="I5">
        <f>AVERAGE('Bottle Results'!D11:D13)</f>
        <v>9.0299999999999994</v>
      </c>
      <c r="J5">
        <f>_xlfn.STDEV.S('Bottle Results'!D11:D13)</f>
        <v>0</v>
      </c>
      <c r="K5">
        <f>AVERAGE('Bottle Results'!F11:F13)</f>
        <v>3.0011999999999997E-2</v>
      </c>
      <c r="L5">
        <f>_xlfn.STDEV.S('Bottle Results'!F11:F13)</f>
        <v>0</v>
      </c>
      <c r="M5">
        <f>COUNT('Bottle Results'!J11:J13)</f>
        <v>3</v>
      </c>
    </row>
    <row r="6" spans="1:14" x14ac:dyDescent="0.25">
      <c r="A6" t="s">
        <v>132</v>
      </c>
      <c r="B6">
        <f>AVERAGE('Bottle Results'!N14:N16)</f>
        <v>0.84390459333952395</v>
      </c>
      <c r="C6">
        <f>_xlfn.STDEV.S('Bottle Results'!N14:N16)</f>
        <v>1.3833771676127916E-2</v>
      </c>
      <c r="D6">
        <f>AVERAGE('Bottle Results'!R14:R16)</f>
        <v>7888.8860646333951</v>
      </c>
      <c r="E6">
        <f>_xlfn.STDEV.S('Bottle Results'!R14:R16)</f>
        <v>93.981504458795641</v>
      </c>
      <c r="F6">
        <f>AVERAGE('Bottle Results'!P14:P16)</f>
        <v>320.76777464788734</v>
      </c>
      <c r="G6">
        <f>AVERAGE('Bottle Results'!T14:T16)</f>
        <v>0.73691104280475395</v>
      </c>
      <c r="H6">
        <f>_xlfn.STDEV.S('Bottle Results'!T14:T16)</f>
        <v>4.3127061910484795E-3</v>
      </c>
      <c r="I6">
        <f>AVERAGE('Bottle Results'!D14:D16)</f>
        <v>2.9933333333333336</v>
      </c>
      <c r="J6">
        <f>_xlfn.STDEV.S('Bottle Results'!D14:D16)</f>
        <v>2.3094010767585053E-2</v>
      </c>
      <c r="K6">
        <f>AVERAGE('Bottle Results'!F14:F16)</f>
        <v>2.9966666666666666E-2</v>
      </c>
      <c r="L6">
        <f>_xlfn.STDEV.S('Bottle Results'!F14:F16)</f>
        <v>4.5092497528229021E-4</v>
      </c>
      <c r="M6">
        <f>COUNT('Bottle Results'!J14:J16)</f>
        <v>3</v>
      </c>
    </row>
    <row r="7" spans="1:14" x14ac:dyDescent="0.25">
      <c r="A7" t="s">
        <v>133</v>
      </c>
      <c r="B7">
        <f>AVERAGE('Bottle Results'!N17:N19)</f>
        <v>0.39708334587086741</v>
      </c>
      <c r="C7">
        <f>_xlfn.STDEV.S('Bottle Results'!N17:N19)</f>
        <v>5.7784708412443207E-3</v>
      </c>
      <c r="D7">
        <f>AVERAGE('Bottle Results'!R17:R19)</f>
        <v>9266.0226041571277</v>
      </c>
      <c r="E7">
        <f>_xlfn.STDEV.S('Bottle Results'!R17:R19)</f>
        <v>59.523127101018765</v>
      </c>
      <c r="F7">
        <f>AVERAGE('Bottle Results'!P17:P19)</f>
        <v>320.76777464788734</v>
      </c>
      <c r="G7">
        <f>AVERAGE('Bottle Results'!T17:T19)</f>
        <v>0.87620846691761567</v>
      </c>
      <c r="H7">
        <f>_xlfn.STDEV.S('Bottle Results'!T17:T19)</f>
        <v>1.8014499266914195E-3</v>
      </c>
      <c r="I7">
        <f>AVERAGE('Bottle Results'!D17:D19)</f>
        <v>5.0199999999999996</v>
      </c>
      <c r="J7">
        <f>_xlfn.STDEV.S('Bottle Results'!D17:D19)</f>
        <v>1.0000000000000231E-2</v>
      </c>
      <c r="K7">
        <f>AVERAGE('Bottle Results'!F17:F19)</f>
        <v>3.0333333333333334E-2</v>
      </c>
      <c r="L7">
        <f>_xlfn.STDEV.S('Bottle Results'!F17:F19)</f>
        <v>2.5166114784235861E-4</v>
      </c>
      <c r="M7">
        <f>COUNT('Bottle Results'!J17:J19)</f>
        <v>3</v>
      </c>
    </row>
    <row r="8" spans="1:14" x14ac:dyDescent="0.25">
      <c r="A8" t="s">
        <v>134</v>
      </c>
      <c r="B8">
        <f>AVERAGE('Bottle Results'!N20:N22)</f>
        <v>0.42144439899925529</v>
      </c>
      <c r="C8">
        <f>_xlfn.STDEV.S('Bottle Results'!N20:N22)</f>
        <v>2.4667210843056148E-2</v>
      </c>
      <c r="D8">
        <f>AVERAGE('Bottle Results'!R20:R22)</f>
        <v>9216.3755310484648</v>
      </c>
      <c r="E8">
        <f>_xlfn.STDEV.S('Bottle Results'!R20:R22)</f>
        <v>59.921778787270824</v>
      </c>
      <c r="F8">
        <f>AVERAGE('Bottle Results'!P20:P22)</f>
        <v>320.76777464788734</v>
      </c>
      <c r="G8">
        <f>AVERAGE('Bottle Results'!T20:T22)</f>
        <v>0.86861385952442305</v>
      </c>
      <c r="H8">
        <f>_xlfn.STDEV.S('Bottle Results'!T20:T22)</f>
        <v>7.6900526775589614E-3</v>
      </c>
      <c r="I8">
        <f>AVERAGE('Bottle Results'!D20:D22)</f>
        <v>7.0066666666666668</v>
      </c>
      <c r="J8">
        <f>_xlfn.STDEV.S('Bottle Results'!D20:D22)</f>
        <v>1.154700538379227E-2</v>
      </c>
      <c r="K8">
        <f>AVERAGE('Bottle Results'!F20:F22)</f>
        <v>3.0233333333333334E-2</v>
      </c>
      <c r="L8">
        <f>_xlfn.STDEV.S('Bottle Results'!F20:F22)</f>
        <v>4.6188021535169981E-4</v>
      </c>
      <c r="M8">
        <f>COUNT('Bottle Results'!J20:J22)</f>
        <v>3</v>
      </c>
    </row>
    <row r="9" spans="1:14" x14ac:dyDescent="0.25">
      <c r="A9" t="s">
        <v>135</v>
      </c>
      <c r="B9">
        <f>AVERAGE('Bottle Results'!N23:N25)</f>
        <v>0.37611842430947928</v>
      </c>
      <c r="C9">
        <f>_xlfn.STDEV.S('Bottle Results'!N23:N25)</f>
        <v>6.2848162499676757E-2</v>
      </c>
      <c r="D9">
        <f>AVERAGE('Bottle Results'!R23:R25)</f>
        <v>9386.085994166182</v>
      </c>
      <c r="E9">
        <f>_xlfn.STDEV.S('Bottle Results'!R23:R25)</f>
        <v>172.25125681302248</v>
      </c>
      <c r="F9">
        <f>AVERAGE('Bottle Results'!P23:P25)</f>
        <v>320.76777464788734</v>
      </c>
      <c r="G9">
        <f>AVERAGE('Bottle Results'!T23:T25)</f>
        <v>0.88274432345258136</v>
      </c>
      <c r="H9">
        <f>_xlfn.STDEV.S('Bottle Results'!T23:T25)</f>
        <v>1.9593041279993412E-2</v>
      </c>
      <c r="I9">
        <f>AVERAGE('Bottle Results'!D23:D25)</f>
        <v>9.0266666666666655</v>
      </c>
      <c r="J9">
        <f>_xlfn.STDEV.S('Bottle Results'!D23:D25)</f>
        <v>2.0816659994661878E-2</v>
      </c>
      <c r="K9">
        <f>AVERAGE('Bottle Results'!F23:F25)</f>
        <v>3.0166666666666665E-2</v>
      </c>
      <c r="L9">
        <f>_xlfn.STDEV.S('Bottle Results'!F23:F25)</f>
        <v>2.3094010767585091E-4</v>
      </c>
      <c r="M9">
        <f>COUNT('Bottle Results'!J23:J25)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2017-07-20T20:27:49Z</dcterms:modified>
</cp:coreProperties>
</file>