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 firstSheet="2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/>
  <c r="F6" i="2"/>
  <c r="G6" i="2"/>
  <c r="F7" i="2"/>
  <c r="G7" i="2" s="1"/>
  <c r="F8" i="2"/>
  <c r="G8" i="2" s="1"/>
  <c r="F9" i="2"/>
  <c r="G9" i="2"/>
  <c r="F10" i="2"/>
  <c r="G10" i="2"/>
  <c r="F11" i="2"/>
  <c r="G11" i="2" s="1"/>
  <c r="F12" i="2"/>
  <c r="G12" i="2" s="1"/>
  <c r="F13" i="2"/>
  <c r="G13" i="2"/>
  <c r="F14" i="2"/>
  <c r="G14" i="2"/>
  <c r="F15" i="2"/>
  <c r="G15" i="2" s="1"/>
  <c r="F16" i="2"/>
  <c r="G16" i="2" s="1"/>
  <c r="F17" i="2"/>
  <c r="G17" i="2"/>
  <c r="F18" i="2"/>
  <c r="G18" i="2"/>
  <c r="F19" i="2"/>
  <c r="G19" i="2" s="1"/>
  <c r="G2" i="2"/>
  <c r="F2" i="2"/>
  <c r="L10" i="7"/>
  <c r="K9" i="7"/>
  <c r="G9" i="7"/>
  <c r="D9" i="7"/>
  <c r="L9" i="7" s="1"/>
  <c r="C9" i="7"/>
  <c r="E9" i="7" s="1"/>
  <c r="L8" i="7"/>
  <c r="K8" i="7"/>
  <c r="H8" i="7"/>
  <c r="I8" i="7" s="1"/>
  <c r="J8" i="7" s="1"/>
  <c r="E8" i="7"/>
  <c r="D8" i="7"/>
  <c r="L7" i="7"/>
  <c r="K7" i="7"/>
  <c r="I7" i="7"/>
  <c r="E7" i="7"/>
  <c r="D7" i="7"/>
  <c r="L6" i="7"/>
  <c r="K6" i="7"/>
  <c r="I6" i="7"/>
  <c r="H6" i="7"/>
  <c r="E6" i="7"/>
  <c r="D6" i="7"/>
  <c r="K5" i="7"/>
  <c r="H5" i="7"/>
  <c r="I5" i="7" s="1"/>
  <c r="J5" i="7" s="1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7" i="7" l="1"/>
  <c r="J3" i="7"/>
  <c r="J6" i="7"/>
  <c r="J4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R16" i="5" s="1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R14" i="5" s="1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R4" i="5" s="1"/>
  <c r="I17" i="5"/>
  <c r="Q17" i="5" s="1"/>
  <c r="I12" i="5"/>
  <c r="Q12" i="5" s="1"/>
  <c r="U12" i="5" s="1"/>
  <c r="I11" i="5"/>
  <c r="Q11" i="5" s="1"/>
  <c r="W11" i="5" s="1"/>
  <c r="J2" i="5"/>
  <c r="R8" i="5" l="1"/>
  <c r="R17" i="5"/>
  <c r="R18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<sst xmlns="http://schemas.openxmlformats.org/spreadsheetml/2006/main" count="320" uniqueCount="147">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</sst>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55960"/>
        <c:axId val="398856352"/>
      </c:scatterChart>
      <c:valAx>
        <c:axId val="39885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856352"/>
        <c:crosses val="autoZero"/>
        <c:crossBetween val="midCat"/>
      </c:valAx>
      <c:valAx>
        <c:axId val="39885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9885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135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143</v>
      </c>
      <c r="K1" s="2" t="s">
        <v>49</v>
      </c>
      <c r="L1" s="2" t="s">
        <v>50</v>
      </c>
      <c r="M1" s="2"/>
      <c r="N1" s="2"/>
    </row>
    <row r="2" spans="1:31" x14ac:dyDescent="0.2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52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53</v>
      </c>
      <c r="B13" t="s">
        <v>146</v>
      </c>
      <c r="C13"/>
      <c r="D13"/>
      <c r="E13"/>
      <c r="F13"/>
      <c r="G13"/>
      <c r="H13"/>
      <c r="I13"/>
      <c r="K13" t="s">
        <v>53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54</v>
      </c>
      <c r="B15" s="6"/>
      <c r="C15"/>
      <c r="D15"/>
      <c r="E15"/>
      <c r="F15"/>
      <c r="G15"/>
      <c r="H15"/>
      <c r="I15"/>
      <c r="J15" s="24"/>
      <c r="K15" s="6" t="s">
        <v>54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55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56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57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58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59</v>
      </c>
      <c r="B20" s="9">
        <v>6</v>
      </c>
      <c r="C20"/>
      <c r="D20"/>
      <c r="E20"/>
      <c r="F20"/>
      <c r="G20"/>
      <c r="H20"/>
      <c r="I20"/>
      <c r="J20" s="24"/>
      <c r="K20" s="9" t="s">
        <v>59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60</v>
      </c>
      <c r="B22"/>
      <c r="C22"/>
      <c r="D22"/>
      <c r="E22"/>
      <c r="F22"/>
      <c r="G22"/>
      <c r="H22"/>
      <c r="I22"/>
      <c r="J22" s="24"/>
      <c r="K22" t="s">
        <v>60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4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78</v>
      </c>
      <c r="B34"/>
      <c r="C34"/>
      <c r="D34"/>
      <c r="E34"/>
      <c r="F34"/>
      <c r="G34"/>
      <c r="H34"/>
      <c r="I34"/>
      <c r="J34" s="24"/>
      <c r="K34" t="s">
        <v>78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4"/>
      <c r="K36" s="10" t="s">
        <v>79</v>
      </c>
      <c r="L36" s="10" t="s">
        <v>80</v>
      </c>
      <c r="M36" s="10" t="s">
        <v>81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82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53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54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55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56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57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58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59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60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66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67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68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76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77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78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A20" sqref="A20:A3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42459.724305555559</v>
      </c>
      <c r="B2" t="s">
        <v>117</v>
      </c>
      <c r="C2">
        <v>65.8</v>
      </c>
      <c r="D2">
        <v>7.8</v>
      </c>
      <c r="E2">
        <v>0.11</v>
      </c>
      <c r="F2">
        <v>181.09</v>
      </c>
    </row>
    <row r="3" spans="1:6" x14ac:dyDescent="0.25">
      <c r="A3" s="18">
        <v>42459.724305555559</v>
      </c>
      <c r="B3" t="s">
        <v>118</v>
      </c>
      <c r="C3">
        <v>67.5</v>
      </c>
      <c r="D3">
        <v>7.7</v>
      </c>
      <c r="E3">
        <v>0.12</v>
      </c>
      <c r="F3">
        <v>574.94000000000005</v>
      </c>
    </row>
    <row r="4" spans="1:6" x14ac:dyDescent="0.25">
      <c r="A4" s="18">
        <v>42459.724305555559</v>
      </c>
      <c r="B4" t="s">
        <v>119</v>
      </c>
      <c r="C4">
        <v>64</v>
      </c>
      <c r="D4">
        <v>7.91</v>
      </c>
      <c r="E4">
        <v>0.12</v>
      </c>
      <c r="F4">
        <v>585.55999999999995</v>
      </c>
    </row>
    <row r="5" spans="1:6" x14ac:dyDescent="0.25">
      <c r="A5" s="18">
        <v>42459.724305555559</v>
      </c>
      <c r="B5" t="s">
        <v>120</v>
      </c>
      <c r="C5">
        <v>74.900000000000006</v>
      </c>
      <c r="D5">
        <v>7.31</v>
      </c>
      <c r="E5">
        <v>0.11</v>
      </c>
      <c r="F5">
        <v>596.19000000000005</v>
      </c>
    </row>
    <row r="6" spans="1:6" x14ac:dyDescent="0.25">
      <c r="A6" s="18">
        <v>42459.724305555559</v>
      </c>
      <c r="B6" t="s">
        <v>121</v>
      </c>
      <c r="C6">
        <v>67</v>
      </c>
      <c r="D6">
        <v>7.73</v>
      </c>
      <c r="E6">
        <v>0.12</v>
      </c>
      <c r="F6">
        <v>606.82000000000005</v>
      </c>
    </row>
    <row r="7" spans="1:6" x14ac:dyDescent="0.25">
      <c r="A7" s="18">
        <v>42459.724305555559</v>
      </c>
      <c r="B7" t="s">
        <v>122</v>
      </c>
      <c r="C7">
        <v>71.7</v>
      </c>
      <c r="D7">
        <v>7.47</v>
      </c>
      <c r="E7">
        <v>0.12</v>
      </c>
      <c r="F7">
        <v>617.44000000000005</v>
      </c>
    </row>
    <row r="8" spans="1:6" x14ac:dyDescent="0.25">
      <c r="A8" s="18">
        <v>42459.724305555559</v>
      </c>
      <c r="B8" t="s">
        <v>123</v>
      </c>
      <c r="C8">
        <v>131</v>
      </c>
      <c r="D8">
        <v>5.53</v>
      </c>
      <c r="E8">
        <v>7.0000000000000007E-2</v>
      </c>
      <c r="F8">
        <v>628.07000000000005</v>
      </c>
    </row>
    <row r="9" spans="1:6" x14ac:dyDescent="0.25">
      <c r="A9" s="18">
        <v>42459.724305555559</v>
      </c>
      <c r="B9" t="s">
        <v>124</v>
      </c>
      <c r="C9">
        <v>115.3</v>
      </c>
      <c r="D9">
        <v>5.89</v>
      </c>
      <c r="E9">
        <v>0.08</v>
      </c>
      <c r="F9">
        <v>638.71</v>
      </c>
    </row>
    <row r="10" spans="1:6" x14ac:dyDescent="0.25">
      <c r="A10" s="18">
        <v>42459.724305555559</v>
      </c>
      <c r="B10" t="s">
        <v>125</v>
      </c>
      <c r="C10">
        <v>121.3</v>
      </c>
      <c r="D10">
        <v>5.74</v>
      </c>
      <c r="E10">
        <v>0.06</v>
      </c>
      <c r="F10">
        <v>649.44000000000005</v>
      </c>
    </row>
    <row r="11" spans="1:6" x14ac:dyDescent="0.25">
      <c r="A11" s="18">
        <v>42459.724305555559</v>
      </c>
      <c r="B11" t="s">
        <v>126</v>
      </c>
      <c r="C11">
        <v>209.4</v>
      </c>
      <c r="D11">
        <v>4.37</v>
      </c>
      <c r="E11">
        <v>0.04</v>
      </c>
      <c r="F11">
        <v>670.71</v>
      </c>
    </row>
    <row r="12" spans="1:6" x14ac:dyDescent="0.25">
      <c r="A12" s="18">
        <v>42459.724305555559</v>
      </c>
      <c r="B12" t="s">
        <v>127</v>
      </c>
      <c r="C12">
        <v>219.2</v>
      </c>
      <c r="D12">
        <v>4.2699999999999996</v>
      </c>
      <c r="E12">
        <v>0.04</v>
      </c>
      <c r="F12">
        <v>681.34</v>
      </c>
    </row>
    <row r="13" spans="1:6" x14ac:dyDescent="0.25">
      <c r="A13" s="18">
        <v>42459.724305555559</v>
      </c>
      <c r="B13" t="s">
        <v>128</v>
      </c>
      <c r="C13">
        <v>193.8</v>
      </c>
      <c r="D13">
        <v>4.54</v>
      </c>
      <c r="E13">
        <v>0.04</v>
      </c>
      <c r="F13">
        <v>691.98</v>
      </c>
    </row>
    <row r="14" spans="1:6" x14ac:dyDescent="0.25">
      <c r="A14" s="18">
        <v>42459.724305555559</v>
      </c>
      <c r="B14" t="s">
        <v>129</v>
      </c>
      <c r="C14">
        <v>481.5</v>
      </c>
      <c r="D14">
        <v>2.88</v>
      </c>
      <c r="E14">
        <v>0.02</v>
      </c>
      <c r="F14">
        <v>702.61</v>
      </c>
    </row>
    <row r="15" spans="1:6" x14ac:dyDescent="0.25">
      <c r="A15" s="18">
        <v>42459.724305555559</v>
      </c>
      <c r="B15" t="s">
        <v>130</v>
      </c>
      <c r="C15">
        <v>499.3</v>
      </c>
      <c r="D15">
        <v>2.83</v>
      </c>
      <c r="E15">
        <v>0.02</v>
      </c>
      <c r="F15">
        <v>713.24</v>
      </c>
    </row>
    <row r="16" spans="1:6" x14ac:dyDescent="0.25">
      <c r="A16" s="18">
        <v>42459.724305555559</v>
      </c>
      <c r="B16" t="s">
        <v>131</v>
      </c>
      <c r="C16">
        <v>488.3</v>
      </c>
      <c r="D16">
        <v>2.86</v>
      </c>
      <c r="E16">
        <v>0.02</v>
      </c>
      <c r="F16">
        <v>723.87</v>
      </c>
    </row>
    <row r="17" spans="1:6" x14ac:dyDescent="0.25">
      <c r="A17" s="18">
        <v>42459.724305555559</v>
      </c>
      <c r="B17" t="s">
        <v>132</v>
      </c>
      <c r="C17">
        <v>843.6</v>
      </c>
      <c r="D17">
        <v>2.1800000000000002</v>
      </c>
      <c r="E17">
        <v>0.01</v>
      </c>
      <c r="F17">
        <v>734.49</v>
      </c>
    </row>
    <row r="18" spans="1:6" x14ac:dyDescent="0.25">
      <c r="A18" s="18">
        <v>42459.724305555559</v>
      </c>
      <c r="B18" t="s">
        <v>133</v>
      </c>
      <c r="C18">
        <v>1056.5</v>
      </c>
      <c r="D18">
        <v>1.95</v>
      </c>
      <c r="E18">
        <v>0.01</v>
      </c>
      <c r="F18">
        <v>745.12</v>
      </c>
    </row>
    <row r="19" spans="1:6" x14ac:dyDescent="0.25">
      <c r="A19" s="18">
        <v>42459.724305555559</v>
      </c>
      <c r="B19" t="s">
        <v>134</v>
      </c>
      <c r="C19">
        <v>906.2</v>
      </c>
      <c r="D19">
        <v>2.1</v>
      </c>
      <c r="E19">
        <v>0.01</v>
      </c>
      <c r="F19">
        <v>755.76</v>
      </c>
    </row>
    <row r="20" spans="1:6" x14ac:dyDescent="0.25">
      <c r="A20" s="18">
        <v>42460.505555555559</v>
      </c>
      <c r="B20" t="s">
        <v>117</v>
      </c>
      <c r="C20">
        <v>61.8</v>
      </c>
      <c r="D20">
        <v>8.0500000000000007</v>
      </c>
      <c r="E20">
        <v>0.13</v>
      </c>
      <c r="F20">
        <v>564.27</v>
      </c>
    </row>
    <row r="21" spans="1:6" x14ac:dyDescent="0.25">
      <c r="A21" s="18">
        <v>42460.505555555559</v>
      </c>
      <c r="B21" t="s">
        <v>118</v>
      </c>
      <c r="C21">
        <v>63.4</v>
      </c>
      <c r="D21">
        <v>7.94</v>
      </c>
      <c r="E21">
        <v>0.12</v>
      </c>
      <c r="F21">
        <v>574.89</v>
      </c>
    </row>
    <row r="22" spans="1:6" x14ac:dyDescent="0.25">
      <c r="A22" s="18">
        <v>42460.505555555559</v>
      </c>
      <c r="B22" t="s">
        <v>119</v>
      </c>
      <c r="C22">
        <v>66.599999999999994</v>
      </c>
      <c r="D22">
        <v>7.75</v>
      </c>
      <c r="E22">
        <v>0.12</v>
      </c>
      <c r="F22">
        <v>585.52</v>
      </c>
    </row>
    <row r="23" spans="1:6" x14ac:dyDescent="0.25">
      <c r="A23" s="18">
        <v>42460.505555555559</v>
      </c>
      <c r="B23" t="s">
        <v>120</v>
      </c>
      <c r="C23">
        <v>68.400000000000006</v>
      </c>
      <c r="D23">
        <v>7.65</v>
      </c>
      <c r="E23">
        <v>0.12</v>
      </c>
      <c r="F23">
        <v>596.13</v>
      </c>
    </row>
    <row r="24" spans="1:6" x14ac:dyDescent="0.25">
      <c r="A24" s="18">
        <v>42460.505555555559</v>
      </c>
      <c r="B24" t="s">
        <v>121</v>
      </c>
      <c r="C24">
        <v>76.5</v>
      </c>
      <c r="D24">
        <v>7.23</v>
      </c>
      <c r="E24">
        <v>0.12</v>
      </c>
      <c r="F24">
        <v>606.75</v>
      </c>
    </row>
    <row r="25" spans="1:6" x14ac:dyDescent="0.25">
      <c r="A25" s="18">
        <v>42460.505555555559</v>
      </c>
      <c r="B25" t="s">
        <v>122</v>
      </c>
      <c r="C25">
        <v>75.2</v>
      </c>
      <c r="D25">
        <v>7.29</v>
      </c>
      <c r="E25">
        <v>0.11</v>
      </c>
      <c r="F25">
        <v>617.39</v>
      </c>
    </row>
    <row r="26" spans="1:6" x14ac:dyDescent="0.25">
      <c r="A26" s="18">
        <v>42460.505555555559</v>
      </c>
      <c r="B26" t="s">
        <v>123</v>
      </c>
      <c r="C26">
        <v>126.1</v>
      </c>
      <c r="D26">
        <v>5.63</v>
      </c>
      <c r="E26">
        <v>7.0000000000000007E-2</v>
      </c>
      <c r="F26">
        <v>628.01</v>
      </c>
    </row>
    <row r="27" spans="1:6" x14ac:dyDescent="0.25">
      <c r="A27" s="18">
        <v>42460.505555555559</v>
      </c>
      <c r="B27" t="s">
        <v>124</v>
      </c>
      <c r="C27">
        <v>115.9</v>
      </c>
      <c r="D27">
        <v>5.87</v>
      </c>
      <c r="E27">
        <v>0.08</v>
      </c>
      <c r="F27">
        <v>638.64</v>
      </c>
    </row>
    <row r="28" spans="1:6" x14ac:dyDescent="0.25">
      <c r="A28" s="18">
        <v>42460.505555555559</v>
      </c>
      <c r="B28" t="s">
        <v>125</v>
      </c>
      <c r="C28">
        <v>123.6</v>
      </c>
      <c r="D28">
        <v>5.69</v>
      </c>
      <c r="E28">
        <v>0.06</v>
      </c>
      <c r="F28">
        <v>649.37</v>
      </c>
    </row>
    <row r="29" spans="1:6" x14ac:dyDescent="0.25">
      <c r="A29" s="18">
        <v>42460.505555555559</v>
      </c>
      <c r="B29" t="s">
        <v>126</v>
      </c>
      <c r="C29">
        <v>222.4</v>
      </c>
      <c r="D29">
        <v>4.24</v>
      </c>
      <c r="E29">
        <v>0.03</v>
      </c>
      <c r="F29">
        <v>670.65</v>
      </c>
    </row>
    <row r="30" spans="1:6" x14ac:dyDescent="0.25">
      <c r="A30" s="18">
        <v>42460.505555555559</v>
      </c>
      <c r="B30" t="s">
        <v>127</v>
      </c>
      <c r="C30">
        <v>215.4</v>
      </c>
      <c r="D30">
        <v>4.3099999999999996</v>
      </c>
      <c r="E30">
        <v>0.04</v>
      </c>
      <c r="F30">
        <v>681.27</v>
      </c>
    </row>
    <row r="31" spans="1:6" x14ac:dyDescent="0.25">
      <c r="A31" s="18">
        <v>42460.505555555559</v>
      </c>
      <c r="B31" t="s">
        <v>128</v>
      </c>
      <c r="C31">
        <v>188.8</v>
      </c>
      <c r="D31">
        <v>4.5999999999999996</v>
      </c>
      <c r="E31">
        <v>0.04</v>
      </c>
      <c r="F31">
        <v>691.91</v>
      </c>
    </row>
    <row r="32" spans="1:6" x14ac:dyDescent="0.25">
      <c r="A32" s="18">
        <v>42460.505555555559</v>
      </c>
      <c r="B32" t="s">
        <v>129</v>
      </c>
      <c r="C32">
        <v>478.9</v>
      </c>
      <c r="D32">
        <v>2.89</v>
      </c>
      <c r="E32">
        <v>0.02</v>
      </c>
      <c r="F32">
        <v>702.54</v>
      </c>
    </row>
    <row r="33" spans="1:6" x14ac:dyDescent="0.25">
      <c r="A33" s="18">
        <v>42460.505555555559</v>
      </c>
      <c r="B33" t="s">
        <v>130</v>
      </c>
      <c r="C33">
        <v>498.3</v>
      </c>
      <c r="D33">
        <v>2.83</v>
      </c>
      <c r="E33">
        <v>0.02</v>
      </c>
      <c r="F33">
        <v>713.15</v>
      </c>
    </row>
    <row r="34" spans="1:6" x14ac:dyDescent="0.25">
      <c r="A34" s="18">
        <v>42460.505555555559</v>
      </c>
      <c r="B34" t="s">
        <v>131</v>
      </c>
      <c r="C34">
        <v>499.3</v>
      </c>
      <c r="D34">
        <v>2.83</v>
      </c>
      <c r="E34">
        <v>0.02</v>
      </c>
      <c r="F34">
        <v>723.79</v>
      </c>
    </row>
    <row r="35" spans="1:6" x14ac:dyDescent="0.25">
      <c r="A35" s="18">
        <v>42460.505555555559</v>
      </c>
      <c r="B35" t="s">
        <v>132</v>
      </c>
      <c r="C35">
        <v>834.7</v>
      </c>
      <c r="D35">
        <v>2.19</v>
      </c>
      <c r="E35">
        <v>0.01</v>
      </c>
      <c r="F35">
        <v>734.41</v>
      </c>
    </row>
    <row r="36" spans="1:6" x14ac:dyDescent="0.25">
      <c r="A36" s="18">
        <v>42460.505555555559</v>
      </c>
      <c r="B36" t="s">
        <v>133</v>
      </c>
      <c r="C36">
        <v>1082.2</v>
      </c>
      <c r="D36">
        <v>1.92</v>
      </c>
      <c r="E36">
        <v>0.01</v>
      </c>
      <c r="F36">
        <v>745.04</v>
      </c>
    </row>
    <row r="37" spans="1:6" x14ac:dyDescent="0.25">
      <c r="A37" s="18">
        <v>42460.505555555559</v>
      </c>
      <c r="B37" t="s">
        <v>134</v>
      </c>
      <c r="C37">
        <v>929.3</v>
      </c>
      <c r="D37">
        <v>2.0699999999999998</v>
      </c>
      <c r="E37">
        <v>0.01</v>
      </c>
      <c r="F37">
        <v>755.68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37" sqref="H3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25">
      <c r="A2" t="s">
        <v>117</v>
      </c>
      <c r="B2" s="15" t="s">
        <v>115</v>
      </c>
      <c r="C2">
        <v>1.0633333333333299</v>
      </c>
      <c r="D2">
        <v>8.4269166666666701E-2</v>
      </c>
      <c r="E2" s="1" t="s">
        <v>52</v>
      </c>
      <c r="F2" s="1">
        <f>(C2-'Calibration Data'!$L$29)/'Calibration Data'!$L$30</f>
        <v>0.1212023193207041</v>
      </c>
      <c r="G2" s="17">
        <f>'Calibration Data'!$L$19/ABS('Calibration Data'!$L$30)*SQRT(1/'Calibration Data'!$L$20+1+(F2-AVERAGE('Calibration Data'!$L$3:$L$9))^2/('Calibration Data'!$L$30^2*SUM('Calibration Data'!$J$3:$J$8)))</f>
        <v>0.12664774633638565</v>
      </c>
    </row>
    <row r="3" spans="1:7" x14ac:dyDescent="0.25">
      <c r="A3" t="s">
        <v>118</v>
      </c>
      <c r="B3" s="15" t="s">
        <v>115</v>
      </c>
      <c r="C3">
        <v>1.09083333333333</v>
      </c>
      <c r="D3">
        <v>8.5303166666666694E-2</v>
      </c>
      <c r="E3" s="1" t="s">
        <v>52</v>
      </c>
      <c r="F3" s="1">
        <f>(C3-'Calibration Data'!$L$29)/'Calibration Data'!$L$30</f>
        <v>0.12445877307638642</v>
      </c>
      <c r="G3" s="17">
        <f>'Calibration Data'!$L$19/ABS('Calibration Data'!$L$30)*SQRT(1/'Calibration Data'!$L$20+1+(F3-AVERAGE('Calibration Data'!$L$3:$L$9))^2/('Calibration Data'!$L$30^2*SUM('Calibration Data'!$J$3:$J$8)))</f>
        <v>0.12664771380684131</v>
      </c>
    </row>
    <row r="4" spans="1:7" x14ac:dyDescent="0.25">
      <c r="A4" t="s">
        <v>119</v>
      </c>
      <c r="B4" s="15" t="s">
        <v>115</v>
      </c>
      <c r="C4">
        <v>1.08833333333333</v>
      </c>
      <c r="D4">
        <v>8.5216500000000001E-2</v>
      </c>
      <c r="E4" s="1" t="s">
        <v>52</v>
      </c>
      <c r="F4" s="1">
        <f>(C4-'Calibration Data'!$L$29)/'Calibration Data'!$L$30</f>
        <v>0.12416273182586986</v>
      </c>
      <c r="G4" s="17">
        <f>'Calibration Data'!$L$19/ABS('Calibration Data'!$L$30)*SQRT(1/'Calibration Data'!$L$20+1+(F4-AVERAGE('Calibration Data'!$L$3:$L$9))^2/('Calibration Data'!$L$30^2*SUM('Calibration Data'!$J$3:$J$8)))</f>
        <v>0.12664771676403841</v>
      </c>
    </row>
    <row r="5" spans="1:7" x14ac:dyDescent="0.25">
      <c r="A5" t="s">
        <v>120</v>
      </c>
      <c r="B5" s="15" t="s">
        <v>115</v>
      </c>
      <c r="C5">
        <v>1.1941666666666699</v>
      </c>
      <c r="D5">
        <v>8.9323666666666704E-2</v>
      </c>
      <c r="E5" s="1" t="s">
        <v>52</v>
      </c>
      <c r="F5" s="1">
        <f>(C5-'Calibration Data'!$L$29)/'Calibration Data'!$L$30</f>
        <v>0.13669514476440556</v>
      </c>
      <c r="G5" s="17">
        <f>'Calibration Data'!$L$19/ABS('Calibration Data'!$L$30)*SQRT(1/'Calibration Data'!$L$20+1+(F5-AVERAGE('Calibration Data'!$L$3:$L$9))^2/('Calibration Data'!$L$30^2*SUM('Calibration Data'!$J$3:$J$8)))</f>
        <v>0.12664759158201586</v>
      </c>
    </row>
    <row r="6" spans="1:7" x14ac:dyDescent="0.25">
      <c r="A6" t="s">
        <v>121</v>
      </c>
      <c r="B6" s="15" t="s">
        <v>115</v>
      </c>
      <c r="C6">
        <v>1.19583333333333</v>
      </c>
      <c r="D6">
        <v>8.9448333333333296E-2</v>
      </c>
      <c r="E6" s="1" t="s">
        <v>52</v>
      </c>
      <c r="F6" s="1">
        <f>(C6-'Calibration Data'!$L$29)/'Calibration Data'!$L$30</f>
        <v>0.1368925055980825</v>
      </c>
      <c r="G6" s="17">
        <f>'Calibration Data'!$L$19/ABS('Calibration Data'!$L$30)*SQRT(1/'Calibration Data'!$L$20+1+(F6-AVERAGE('Calibration Data'!$L$3:$L$9))^2/('Calibration Data'!$L$30^2*SUM('Calibration Data'!$J$3:$J$8)))</f>
        <v>0.12664758961074349</v>
      </c>
    </row>
    <row r="7" spans="1:7" x14ac:dyDescent="0.25">
      <c r="A7" t="s">
        <v>122</v>
      </c>
      <c r="B7" s="15" t="s">
        <v>115</v>
      </c>
      <c r="C7">
        <v>1.22416666666667</v>
      </c>
      <c r="D7">
        <v>9.0343499999999993E-2</v>
      </c>
      <c r="E7" s="1" t="s">
        <v>52</v>
      </c>
      <c r="F7" s="1">
        <f>(C7-'Calibration Data'!$L$29)/'Calibration Data'!$L$30</f>
        <v>0.14024763977060445</v>
      </c>
      <c r="G7" s="17">
        <f>'Calibration Data'!$L$19/ABS('Calibration Data'!$L$30)*SQRT(1/'Calibration Data'!$L$20+1+(F7-AVERAGE('Calibration Data'!$L$3:$L$9))^2/('Calibration Data'!$L$30^2*SUM('Calibration Data'!$J$3:$J$8)))</f>
        <v>0.12664755609957906</v>
      </c>
    </row>
    <row r="8" spans="1:7" ht="15.75" customHeight="1" x14ac:dyDescent="0.25">
      <c r="A8" t="s">
        <v>123</v>
      </c>
      <c r="B8" s="15" t="s">
        <v>115</v>
      </c>
      <c r="C8">
        <v>2.1425000000000001</v>
      </c>
      <c r="D8">
        <v>0.1195515</v>
      </c>
      <c r="E8" s="1" t="s">
        <v>52</v>
      </c>
      <c r="F8" s="1">
        <f>(C8-'Calibration Data'!$L$29)/'Calibration Data'!$L$30</f>
        <v>0.24899345912702536</v>
      </c>
      <c r="G8" s="17">
        <f>'Calibration Data'!$L$19/ABS('Calibration Data'!$L$30)*SQRT(1/'Calibration Data'!$L$20+1+(F8-AVERAGE('Calibration Data'!$L$3:$L$9))^2/('Calibration Data'!$L$30^2*SUM('Calibration Data'!$J$3:$J$8)))</f>
        <v>0.12664647041957286</v>
      </c>
    </row>
    <row r="9" spans="1:7" x14ac:dyDescent="0.25">
      <c r="A9" t="s">
        <v>124</v>
      </c>
      <c r="B9" s="15" t="s">
        <v>115</v>
      </c>
      <c r="C9">
        <v>1.9266666666666701</v>
      </c>
      <c r="D9">
        <v>0.113288</v>
      </c>
      <c r="E9" s="1" t="s">
        <v>52</v>
      </c>
      <c r="F9" s="1">
        <f>(C9-'Calibration Data'!$L$29)/'Calibration Data'!$L$30</f>
        <v>0.22343523116576158</v>
      </c>
      <c r="G9" s="17">
        <f>'Calibration Data'!$L$19/ABS('Calibration Data'!$L$30)*SQRT(1/'Calibration Data'!$L$20+1+(F9-AVERAGE('Calibration Data'!$L$3:$L$9))^2/('Calibration Data'!$L$30^2*SUM('Calibration Data'!$J$3:$J$8)))</f>
        <v>0.12664672550091619</v>
      </c>
    </row>
    <row r="10" spans="1:7" x14ac:dyDescent="0.25">
      <c r="A10" t="s">
        <v>125</v>
      </c>
      <c r="B10" s="15" t="s">
        <v>115</v>
      </c>
      <c r="C10">
        <v>2.0408333333333299</v>
      </c>
      <c r="D10">
        <v>0.116633625</v>
      </c>
      <c r="E10" s="1" t="s">
        <v>52</v>
      </c>
      <c r="F10" s="1">
        <f>(C10-'Calibration Data'!$L$29)/'Calibration Data'!$L$30</f>
        <v>0.2369544482726843</v>
      </c>
      <c r="G10" s="17">
        <f>'Calibration Data'!$L$19/ABS('Calibration Data'!$L$30)*SQRT(1/'Calibration Data'!$L$20+1+(F10-AVERAGE('Calibration Data'!$L$3:$L$9))^2/('Calibration Data'!$L$30^2*SUM('Calibration Data'!$J$3:$J$8)))</f>
        <v>0.12664659056736424</v>
      </c>
    </row>
    <row r="11" spans="1:7" x14ac:dyDescent="0.25">
      <c r="A11" t="s">
        <v>126</v>
      </c>
      <c r="B11" s="15" t="s">
        <v>115</v>
      </c>
      <c r="C11">
        <v>3.5983333333333301</v>
      </c>
      <c r="D11">
        <v>0.15490825</v>
      </c>
      <c r="E11" s="1" t="s">
        <v>52</v>
      </c>
      <c r="F11" s="1">
        <f>(C11-'Calibration Data'!$L$29)/'Calibration Data'!$L$30</f>
        <v>0.42138814734450952</v>
      </c>
      <c r="G11" s="17">
        <f>'Calibration Data'!$L$19/ABS('Calibration Data'!$L$30)*SQRT(1/'Calibration Data'!$L$20+1+(F11-AVERAGE('Calibration Data'!$L$3:$L$9))^2/('Calibration Data'!$L$30^2*SUM('Calibration Data'!$J$3:$J$8)))</f>
        <v>0.12664475118406002</v>
      </c>
    </row>
    <row r="12" spans="1:7" x14ac:dyDescent="0.25">
      <c r="A12" t="s">
        <v>127</v>
      </c>
      <c r="B12" s="15" t="s">
        <v>115</v>
      </c>
      <c r="C12">
        <v>3.6216666666666701</v>
      </c>
      <c r="D12">
        <v>0.15536949999999999</v>
      </c>
      <c r="E12" s="1" t="s">
        <v>52</v>
      </c>
      <c r="F12" s="1">
        <f>(C12-'Calibration Data'!$L$29)/'Calibration Data'!$L$30</f>
        <v>0.42415119901599829</v>
      </c>
      <c r="G12" s="17">
        <f>'Calibration Data'!$L$19/ABS('Calibration Data'!$L$30)*SQRT(1/'Calibration Data'!$L$20+1+(F12-AVERAGE('Calibration Data'!$L$3:$L$9))^2/('Calibration Data'!$L$30^2*SUM('Calibration Data'!$J$3:$J$8)))</f>
        <v>0.12664472364795179</v>
      </c>
    </row>
    <row r="13" spans="1:7" x14ac:dyDescent="0.25">
      <c r="A13" t="s">
        <v>128</v>
      </c>
      <c r="B13" s="15" t="s">
        <v>115</v>
      </c>
      <c r="C13">
        <v>3.1883333333333299</v>
      </c>
      <c r="D13">
        <v>0.14570683333333301</v>
      </c>
      <c r="E13" s="1" t="s">
        <v>52</v>
      </c>
      <c r="F13" s="1">
        <f>(C13-'Calibration Data'!$L$29)/'Calibration Data'!$L$30</f>
        <v>0.37283738225979146</v>
      </c>
      <c r="G13" s="17">
        <f>'Calibration Data'!$L$19/ABS('Calibration Data'!$L$30)*SQRT(1/'Calibration Data'!$L$20+1+(F13-AVERAGE('Calibration Data'!$L$3:$L$9))^2/('Calibration Data'!$L$30^2*SUM('Calibration Data'!$J$3:$J$8)))</f>
        <v>0.12664523513009623</v>
      </c>
    </row>
    <row r="14" spans="1:7" x14ac:dyDescent="0.25">
      <c r="A14" t="s">
        <v>129</v>
      </c>
      <c r="B14" s="15" t="s">
        <v>115</v>
      </c>
      <c r="C14">
        <v>8.0033333333333303</v>
      </c>
      <c r="D14">
        <v>0.23089616666666701</v>
      </c>
      <c r="E14" s="1" t="s">
        <v>52</v>
      </c>
      <c r="F14" s="1">
        <f>(C14-'Calibration Data'!$L$29)/'Calibration Data'!$L$30</f>
        <v>0.94301283075471176</v>
      </c>
      <c r="G14" s="17">
        <f>'Calibration Data'!$L$19/ABS('Calibration Data'!$L$30)*SQRT(1/'Calibration Data'!$L$20+1+(F14-AVERAGE('Calibration Data'!$L$3:$L$9))^2/('Calibration Data'!$L$30^2*SUM('Calibration Data'!$J$3:$J$8)))</f>
        <v>0.12663956332864382</v>
      </c>
    </row>
    <row r="15" spans="1:7" x14ac:dyDescent="0.25">
      <c r="A15" t="s">
        <v>130</v>
      </c>
      <c r="B15" s="15" t="s">
        <v>115</v>
      </c>
      <c r="C15">
        <v>8.3133333333333308</v>
      </c>
      <c r="D15">
        <v>0.235267333333333</v>
      </c>
      <c r="E15" s="1" t="s">
        <v>52</v>
      </c>
      <c r="F15" s="1">
        <f>(C15-'Calibration Data'!$L$29)/'Calibration Data'!$L$30</f>
        <v>0.97972194581876693</v>
      </c>
      <c r="G15" s="17">
        <f>'Calibration Data'!$L$19/ABS('Calibration Data'!$L$30)*SQRT(1/'Calibration Data'!$L$20+1+(F15-AVERAGE('Calibration Data'!$L$3:$L$9))^2/('Calibration Data'!$L$30^2*SUM('Calibration Data'!$J$3:$J$8)))</f>
        <v>0.12663919903589219</v>
      </c>
    </row>
    <row r="16" spans="1:7" x14ac:dyDescent="0.25">
      <c r="A16" t="s">
        <v>131</v>
      </c>
      <c r="B16" s="15" t="s">
        <v>115</v>
      </c>
      <c r="C16">
        <v>8.23</v>
      </c>
      <c r="D16">
        <v>0.2341435</v>
      </c>
      <c r="E16" s="1" t="s">
        <v>52</v>
      </c>
      <c r="F16" s="1">
        <f>(C16-'Calibration Data'!$L$29)/'Calibration Data'!$L$30</f>
        <v>0.96985390413488148</v>
      </c>
      <c r="G16" s="17">
        <f>'Calibration Data'!$L$19/ABS('Calibration Data'!$L$30)*SQRT(1/'Calibration Data'!$L$20+1+(F16-AVERAGE('Calibration Data'!$L$3:$L$9))^2/('Calibration Data'!$L$30^2*SUM('Calibration Data'!$J$3:$J$8)))</f>
        <v>0.12663929695370765</v>
      </c>
    </row>
    <row r="17" spans="1:7" x14ac:dyDescent="0.25">
      <c r="A17" t="s">
        <v>132</v>
      </c>
      <c r="B17" s="15" t="s">
        <v>115</v>
      </c>
      <c r="C17">
        <v>13.9858333333333</v>
      </c>
      <c r="D17">
        <v>0.30559045833333298</v>
      </c>
      <c r="E17" s="1" t="s">
        <v>52</v>
      </c>
      <c r="F17" s="1">
        <f>(C17-'Calibration Data'!$L$29)/'Calibration Data'!$L$30</f>
        <v>1.6514395432408682</v>
      </c>
      <c r="G17" s="17">
        <f>'Calibration Data'!$L$19/ABS('Calibration Data'!$L$30)*SQRT(1/'Calibration Data'!$L$20+1+(F17-AVERAGE('Calibration Data'!$L$3:$L$9))^2/('Calibration Data'!$L$30^2*SUM('Calibration Data'!$J$3:$J$8)))</f>
        <v>0.12663255165030191</v>
      </c>
    </row>
    <row r="18" spans="1:7" x14ac:dyDescent="0.25">
      <c r="A18" t="s">
        <v>133</v>
      </c>
      <c r="B18" s="15" t="s">
        <v>115</v>
      </c>
      <c r="C18">
        <v>17.822500000000002</v>
      </c>
      <c r="D18">
        <v>0.34486537499999997</v>
      </c>
      <c r="E18" s="1" t="s">
        <v>52</v>
      </c>
      <c r="F18" s="1">
        <f>(C18-'Calibration Data'!$L$29)/'Calibration Data'!$L$30</f>
        <v>2.1057641823669737</v>
      </c>
      <c r="G18" s="17">
        <f>'Calibration Data'!$L$19/ABS('Calibration Data'!$L$30)*SQRT(1/'Calibration Data'!$L$20+1+(F18-AVERAGE('Calibration Data'!$L$3:$L$9))^2/('Calibration Data'!$L$30^2*SUM('Calibration Data'!$J$3:$J$8)))</f>
        <v>0.12662807558875799</v>
      </c>
    </row>
    <row r="19" spans="1:7" x14ac:dyDescent="0.25">
      <c r="A19" t="s">
        <v>134</v>
      </c>
      <c r="B19" s="15" t="s">
        <v>115</v>
      </c>
      <c r="C19">
        <v>15.295833333333301</v>
      </c>
      <c r="D19">
        <v>0.318918125</v>
      </c>
      <c r="E19" s="1" t="s">
        <v>52</v>
      </c>
      <c r="F19" s="1">
        <f>(C19-'Calibration Data'!$L$29)/'Calibration Data'!$L$30</f>
        <v>1.8065651585115527</v>
      </c>
      <c r="G19" s="17">
        <f>'Calibration Data'!$L$19/ABS('Calibration Data'!$L$30)*SQRT(1/'Calibration Data'!$L$20+1+(F19-AVERAGE('Calibration Data'!$L$3:$L$9))^2/('Calibration Data'!$L$30^2*SUM('Calibration Data'!$J$3:$J$8)))</f>
        <v>0.12663102152099548</v>
      </c>
    </row>
    <row r="20" spans="1:7" x14ac:dyDescent="0.25">
      <c r="A20" s="15" t="s">
        <v>93</v>
      </c>
      <c r="B20" s="16" t="s">
        <v>116</v>
      </c>
    </row>
    <row r="21" spans="1:7" x14ac:dyDescent="0.25">
      <c r="A21" s="15" t="s">
        <v>94</v>
      </c>
      <c r="B21" s="16" t="s">
        <v>116</v>
      </c>
    </row>
    <row r="22" spans="1:7" x14ac:dyDescent="0.25">
      <c r="A22" s="15" t="s">
        <v>95</v>
      </c>
      <c r="B22" s="16" t="s">
        <v>116</v>
      </c>
    </row>
    <row r="23" spans="1:7" x14ac:dyDescent="0.25">
      <c r="A23" s="15" t="s">
        <v>96</v>
      </c>
      <c r="B23" s="16" t="s">
        <v>116</v>
      </c>
    </row>
    <row r="24" spans="1:7" x14ac:dyDescent="0.25">
      <c r="A24" s="15" t="s">
        <v>97</v>
      </c>
      <c r="B24" s="16" t="s">
        <v>116</v>
      </c>
    </row>
    <row r="25" spans="1:7" x14ac:dyDescent="0.25">
      <c r="A25" s="15" t="s">
        <v>98</v>
      </c>
      <c r="B25" s="16" t="s">
        <v>116</v>
      </c>
    </row>
    <row r="26" spans="1:7" x14ac:dyDescent="0.25">
      <c r="A26" s="15" t="s">
        <v>99</v>
      </c>
      <c r="B26" s="16" t="s">
        <v>116</v>
      </c>
    </row>
    <row r="27" spans="1:7" x14ac:dyDescent="0.25">
      <c r="A27" s="15" t="s">
        <v>100</v>
      </c>
      <c r="B27" s="16" t="s">
        <v>116</v>
      </c>
    </row>
    <row r="28" spans="1:7" x14ac:dyDescent="0.25">
      <c r="A28" s="15" t="s">
        <v>101</v>
      </c>
      <c r="B28" s="16" t="s">
        <v>116</v>
      </c>
    </row>
    <row r="29" spans="1:7" x14ac:dyDescent="0.25">
      <c r="A29" s="15" t="s">
        <v>102</v>
      </c>
      <c r="B29" s="16" t="s">
        <v>116</v>
      </c>
    </row>
    <row r="30" spans="1:7" x14ac:dyDescent="0.25">
      <c r="A30" s="15" t="s">
        <v>103</v>
      </c>
      <c r="B30" s="16" t="s">
        <v>116</v>
      </c>
    </row>
    <row r="31" spans="1:7" x14ac:dyDescent="0.25">
      <c r="A31" s="15" t="s">
        <v>104</v>
      </c>
      <c r="B31" s="16" t="s">
        <v>116</v>
      </c>
    </row>
    <row r="32" spans="1:7" x14ac:dyDescent="0.25">
      <c r="A32" s="15" t="s">
        <v>105</v>
      </c>
      <c r="B32" s="16" t="s">
        <v>116</v>
      </c>
    </row>
    <row r="33" spans="1:2" x14ac:dyDescent="0.25">
      <c r="A33" s="15" t="s">
        <v>106</v>
      </c>
      <c r="B33" s="16" t="s">
        <v>116</v>
      </c>
    </row>
    <row r="34" spans="1:2" x14ac:dyDescent="0.25">
      <c r="A34" s="15" t="s">
        <v>107</v>
      </c>
      <c r="B34" s="16" t="s">
        <v>116</v>
      </c>
    </row>
    <row r="35" spans="1:2" x14ac:dyDescent="0.25">
      <c r="A35" s="15" t="s">
        <v>108</v>
      </c>
      <c r="B35" s="16" t="s">
        <v>116</v>
      </c>
    </row>
    <row r="36" spans="1:2" x14ac:dyDescent="0.25">
      <c r="A36" s="15" t="s">
        <v>109</v>
      </c>
      <c r="B36" s="16" t="s">
        <v>116</v>
      </c>
    </row>
    <row r="37" spans="1:2" x14ac:dyDescent="0.25">
      <c r="A37" s="15" t="s">
        <v>110</v>
      </c>
      <c r="B37" s="1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139</v>
      </c>
    </row>
    <row r="2" spans="1:23" x14ac:dyDescent="0.25">
      <c r="A2" t="s">
        <v>117</v>
      </c>
      <c r="B2">
        <v>0</v>
      </c>
      <c r="C2">
        <v>0</v>
      </c>
      <c r="D2" s="1">
        <v>6.99</v>
      </c>
      <c r="E2" s="1">
        <v>3.0200000000000001E-2</v>
      </c>
      <c r="F2" s="1">
        <v>1E-4</v>
      </c>
      <c r="G2" s="1">
        <v>100</v>
      </c>
      <c r="H2" s="1">
        <v>5</v>
      </c>
      <c r="I2" s="1">
        <f>'Count-&gt;Actual Activity'!F2</f>
        <v>0.1212023193207041</v>
      </c>
      <c r="J2" s="1">
        <f>'Count-&gt;Actual Activity'!G2</f>
        <v>0.12664774633638565</v>
      </c>
      <c r="K2" s="1">
        <v>5</v>
      </c>
      <c r="L2" s="1">
        <v>0.02</v>
      </c>
      <c r="M2" s="1"/>
      <c r="N2" s="1"/>
      <c r="O2" s="1"/>
      <c r="P2" s="1"/>
      <c r="Q2">
        <f>I2/K2</f>
        <v>2.4240463864140822E-2</v>
      </c>
      <c r="R2">
        <f>SQRT((L2/K2)^2+(J2/I2)^2)*Q2</f>
        <v>2.5329734852241013E-2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-80.26643663622788</v>
      </c>
      <c r="W2" t="e">
        <f t="shared" ref="W2:W19" si="1">(S2-Q2*G2)/S2</f>
        <v>#DIV/0!</v>
      </c>
    </row>
    <row r="3" spans="1:23" x14ac:dyDescent="0.25">
      <c r="A3" t="s">
        <v>118</v>
      </c>
      <c r="B3">
        <v>0</v>
      </c>
      <c r="C3">
        <v>0</v>
      </c>
      <c r="D3" s="1">
        <v>7.01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0.12445877307638642</v>
      </c>
      <c r="J3" s="1">
        <f>'Count-&gt;Actual Activity'!G3</f>
        <v>0.12664771380684131</v>
      </c>
      <c r="K3" s="1">
        <v>5</v>
      </c>
      <c r="L3" s="1">
        <v>0.02</v>
      </c>
      <c r="M3" s="1"/>
      <c r="N3" s="1"/>
      <c r="O3" s="1"/>
      <c r="P3" s="1"/>
      <c r="Q3">
        <f t="shared" ref="Q3:Q19" si="2">I3/K3</f>
        <v>2.4891754615277283E-2</v>
      </c>
      <c r="R3">
        <f t="shared" ref="R3:R19" si="3">SQRT((L3/K3)^2+(J3/I3)^2)*Q3</f>
        <v>2.5329738452876852E-2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-83.529377903615043</v>
      </c>
      <c r="W3" t="e">
        <f t="shared" si="1"/>
        <v>#DIV/0!</v>
      </c>
    </row>
    <row r="4" spans="1:23" x14ac:dyDescent="0.25">
      <c r="A4" t="s">
        <v>119</v>
      </c>
      <c r="B4">
        <v>0</v>
      </c>
      <c r="C4">
        <v>0</v>
      </c>
      <c r="D4" s="1">
        <v>7</v>
      </c>
      <c r="E4" s="1">
        <v>3.0099999999999998E-2</v>
      </c>
      <c r="F4" s="1">
        <v>1E-4</v>
      </c>
      <c r="G4" s="1">
        <v>100</v>
      </c>
      <c r="H4" s="1">
        <v>5</v>
      </c>
      <c r="I4" s="1">
        <f>'Count-&gt;Actual Activity'!F4</f>
        <v>0.12416273182586986</v>
      </c>
      <c r="J4" s="1">
        <f>'Count-&gt;Actual Activity'!G4</f>
        <v>0.12664771676403841</v>
      </c>
      <c r="K4" s="1">
        <v>5</v>
      </c>
      <c r="L4" s="1">
        <v>0.02</v>
      </c>
      <c r="M4" s="1"/>
      <c r="N4" s="1"/>
      <c r="O4" s="1"/>
      <c r="P4" s="1"/>
      <c r="Q4">
        <f t="shared" si="2"/>
        <v>2.4832546365173971E-2</v>
      </c>
      <c r="R4">
        <f t="shared" si="3"/>
        <v>2.5329738114467499E-2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-82.500154037122826</v>
      </c>
      <c r="W4" t="e">
        <f t="shared" si="1"/>
        <v>#DIV/0!</v>
      </c>
    </row>
    <row r="5" spans="1:23" x14ac:dyDescent="0.25">
      <c r="A5" t="s">
        <v>120</v>
      </c>
      <c r="B5">
        <v>1.5800000000000002E-2</v>
      </c>
      <c r="C5">
        <v>1E-4</v>
      </c>
      <c r="D5" s="1">
        <v>7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0.13669514476440556</v>
      </c>
      <c r="J5" s="1">
        <f>'Count-&gt;Actual Activity'!G5</f>
        <v>0.12664759158201586</v>
      </c>
      <c r="K5" s="1">
        <v>5</v>
      </c>
      <c r="L5" s="1">
        <v>0.02</v>
      </c>
      <c r="M5" s="1"/>
      <c r="N5" s="1"/>
      <c r="O5" s="1"/>
      <c r="P5" s="1"/>
      <c r="Q5">
        <f t="shared" si="2"/>
        <v>2.7339028952881112E-2</v>
      </c>
      <c r="R5">
        <f t="shared" si="3"/>
        <v>2.5329754379011832E-2</v>
      </c>
      <c r="S5">
        <f>B5*Parameters!$B$6</f>
        <v>5.3988024914288308</v>
      </c>
      <c r="T5">
        <f>SQRT((C5/B5)^2+(Parameters!$C$6/Parameters!$B$6)^2)*'Bottle Results'!S5</f>
        <v>3.422927639369442E-2</v>
      </c>
      <c r="U5">
        <f t="shared" si="0"/>
        <v>88.241708481480771</v>
      </c>
      <c r="W5">
        <f t="shared" si="1"/>
        <v>0.49360938844707308</v>
      </c>
    </row>
    <row r="6" spans="1:23" x14ac:dyDescent="0.25">
      <c r="A6" t="s">
        <v>121</v>
      </c>
      <c r="B6">
        <v>1.5800000000000002E-2</v>
      </c>
      <c r="C6">
        <v>1E-4</v>
      </c>
      <c r="D6" s="1">
        <v>7.01</v>
      </c>
      <c r="E6" s="1">
        <v>3.0599999999999999E-2</v>
      </c>
      <c r="F6" s="1">
        <v>1E-4</v>
      </c>
      <c r="G6" s="1">
        <v>100</v>
      </c>
      <c r="H6" s="1">
        <v>5</v>
      </c>
      <c r="I6" s="1">
        <f>'Count-&gt;Actual Activity'!F6</f>
        <v>0.1368925055980825</v>
      </c>
      <c r="J6" s="1">
        <f>'Count-&gt;Actual Activity'!G6</f>
        <v>0.12664758961074349</v>
      </c>
      <c r="K6" s="1">
        <v>5</v>
      </c>
      <c r="L6" s="1">
        <v>0.02</v>
      </c>
      <c r="M6" s="1"/>
      <c r="N6" s="1"/>
      <c r="O6" s="1"/>
      <c r="P6" s="1"/>
      <c r="Q6">
        <f t="shared" si="2"/>
        <v>2.73785011196165E-2</v>
      </c>
      <c r="R6">
        <f t="shared" si="3"/>
        <v>2.5329754666905659E-2</v>
      </c>
      <c r="S6">
        <f>B6*Parameters!$B$6</f>
        <v>5.3988024914288308</v>
      </c>
      <c r="T6">
        <f>SQRT((C6/B6)^2+(Parameters!$C$6/Parameters!$B$6)^2)*'Bottle Results'!S6</f>
        <v>3.422927639369442E-2</v>
      </c>
      <c r="U6">
        <f t="shared" si="0"/>
        <v>86.959228087162771</v>
      </c>
      <c r="W6">
        <f t="shared" si="1"/>
        <v>0.49287826026081222</v>
      </c>
    </row>
    <row r="7" spans="1:23" x14ac:dyDescent="0.25">
      <c r="A7" t="s">
        <v>122</v>
      </c>
      <c r="B7">
        <v>1.5800000000000002E-2</v>
      </c>
      <c r="C7">
        <v>1E-4</v>
      </c>
      <c r="D7" s="1">
        <v>7</v>
      </c>
      <c r="E7" s="1">
        <v>3.0099999999999998E-2</v>
      </c>
      <c r="F7" s="1">
        <v>1E-3</v>
      </c>
      <c r="G7" s="1">
        <v>100</v>
      </c>
      <c r="H7" s="1">
        <v>5</v>
      </c>
      <c r="I7" s="1">
        <f>'Count-&gt;Actual Activity'!F7</f>
        <v>0.14024763977060445</v>
      </c>
      <c r="J7" s="1">
        <f>'Count-&gt;Actual Activity'!G7</f>
        <v>0.12664755609957906</v>
      </c>
      <c r="K7" s="1">
        <v>5</v>
      </c>
      <c r="L7" s="1">
        <v>0.02</v>
      </c>
      <c r="M7" s="1"/>
      <c r="N7" s="1"/>
      <c r="O7" s="1"/>
      <c r="P7" s="1"/>
      <c r="Q7">
        <f t="shared" si="2"/>
        <v>2.8049527954120891E-2</v>
      </c>
      <c r="R7">
        <f t="shared" si="3"/>
        <v>2.5329759711772558E-2</v>
      </c>
      <c r="S7">
        <f>B7*Parameters!$B$6</f>
        <v>5.3988024914288308</v>
      </c>
      <c r="T7">
        <f>SQRT((C7/B7)^2+(Parameters!$C$6/Parameters!$B$6)^2)*'Bottle Results'!S7</f>
        <v>3.422927639369442E-2</v>
      </c>
      <c r="U7">
        <f t="shared" si="0"/>
        <v>86.174408505539589</v>
      </c>
      <c r="W7">
        <f t="shared" si="1"/>
        <v>0.48044908109432638</v>
      </c>
    </row>
    <row r="8" spans="1:23" ht="15.75" customHeight="1" x14ac:dyDescent="0.25">
      <c r="A8" t="s">
        <v>123</v>
      </c>
      <c r="B8">
        <v>7.9200000000000007E-2</v>
      </c>
      <c r="C8">
        <v>1E-4</v>
      </c>
      <c r="D8" s="1">
        <v>7</v>
      </c>
      <c r="E8" s="1">
        <v>0.03</v>
      </c>
      <c r="F8" s="1">
        <v>1E-3</v>
      </c>
      <c r="G8" s="1">
        <v>100</v>
      </c>
      <c r="H8" s="1">
        <v>5</v>
      </c>
      <c r="I8" s="1">
        <f>'Count-&gt;Actual Activity'!F8</f>
        <v>0.24899345912702536</v>
      </c>
      <c r="J8" s="1">
        <f>'Count-&gt;Actual Activity'!G8</f>
        <v>0.12664647041957286</v>
      </c>
      <c r="K8" s="1">
        <v>5</v>
      </c>
      <c r="L8" s="1">
        <v>0.02</v>
      </c>
      <c r="M8" s="1"/>
      <c r="N8" s="1"/>
      <c r="O8" s="1"/>
      <c r="P8" s="1"/>
      <c r="Q8">
        <f t="shared" si="2"/>
        <v>4.979869182540507E-2</v>
      </c>
      <c r="R8">
        <f t="shared" si="3"/>
        <v>2.533007732607127E-2</v>
      </c>
      <c r="S8">
        <f>B8*Parameters!$B$6</f>
        <v>27.062351729187554</v>
      </c>
      <c r="T8">
        <f>SQRT((C8/B8)^2+(Parameters!$C$6/Parameters!$B$6)^2)*'Bottle Results'!S8</f>
        <v>3.5637963826780028E-2</v>
      </c>
      <c r="U8">
        <f t="shared" si="0"/>
        <v>736.08275155490162</v>
      </c>
      <c r="W8">
        <f t="shared" si="1"/>
        <v>0.81598534996610916</v>
      </c>
    </row>
    <row r="9" spans="1:23" x14ac:dyDescent="0.25">
      <c r="A9" t="s">
        <v>124</v>
      </c>
      <c r="B9">
        <v>7.9200000000000007E-2</v>
      </c>
      <c r="C9">
        <v>1E-4</v>
      </c>
      <c r="D9" s="1">
        <v>7.01</v>
      </c>
      <c r="E9" s="1">
        <v>3.09E-2</v>
      </c>
      <c r="F9" s="1">
        <v>1E-4</v>
      </c>
      <c r="G9" s="1">
        <v>100</v>
      </c>
      <c r="H9" s="1">
        <v>5</v>
      </c>
      <c r="I9" s="1">
        <f>'Count-&gt;Actual Activity'!F9</f>
        <v>0.22343523116576158</v>
      </c>
      <c r="J9" s="1">
        <f>'Count-&gt;Actual Activity'!G9</f>
        <v>0.12664672550091619</v>
      </c>
      <c r="K9" s="1">
        <v>5</v>
      </c>
      <c r="L9" s="1">
        <v>0.02</v>
      </c>
      <c r="M9" s="1"/>
      <c r="N9" s="1"/>
      <c r="O9" s="1"/>
      <c r="P9" s="1"/>
      <c r="Q9">
        <f t="shared" si="2"/>
        <v>4.4687046233152318E-2</v>
      </c>
      <c r="R9">
        <f t="shared" si="3"/>
        <v>2.5329975801760912E-2</v>
      </c>
      <c r="S9">
        <f>B9*Parameters!$B$6</f>
        <v>27.062351729187554</v>
      </c>
      <c r="T9">
        <f>SQRT((C9/B9)^2+(Parameters!$C$6/Parameters!$B$6)^2)*'Bottle Results'!S9</f>
        <v>3.5637963826780028E-2</v>
      </c>
      <c r="U9">
        <f t="shared" si="0"/>
        <v>731.18599048130488</v>
      </c>
      <c r="W9">
        <f t="shared" si="1"/>
        <v>0.83487375125290375</v>
      </c>
    </row>
    <row r="10" spans="1:23" x14ac:dyDescent="0.25">
      <c r="A10" t="s">
        <v>125</v>
      </c>
      <c r="B10">
        <v>7.9200000000000007E-2</v>
      </c>
      <c r="C10">
        <v>1E-4</v>
      </c>
      <c r="D10" s="1">
        <v>6.99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0.2369544482726843</v>
      </c>
      <c r="J10" s="1">
        <f>'Count-&gt;Actual Activity'!G10</f>
        <v>0.12664659056736424</v>
      </c>
      <c r="K10" s="1">
        <v>5</v>
      </c>
      <c r="L10" s="1">
        <v>0.02</v>
      </c>
      <c r="M10" s="1"/>
      <c r="N10" s="1"/>
      <c r="O10" s="1"/>
      <c r="P10" s="1"/>
      <c r="Q10">
        <f t="shared" si="2"/>
        <v>4.7390889654536861E-2</v>
      </c>
      <c r="R10">
        <f t="shared" si="3"/>
        <v>2.5330027446417418E-2</v>
      </c>
      <c r="S10">
        <f>B10*Parameters!$B$6</f>
        <v>27.062351729187554</v>
      </c>
      <c r="T10">
        <f>SQRT((C10/B10)^2+(Parameters!$C$6/Parameters!$B$6)^2)*'Bottle Results'!S10</f>
        <v>3.5637963826780028E-2</v>
      </c>
      <c r="U10">
        <f t="shared" si="0"/>
        <v>746.59741684728658</v>
      </c>
      <c r="W10">
        <f t="shared" si="1"/>
        <v>0.82488258918228319</v>
      </c>
    </row>
    <row r="11" spans="1:23" x14ac:dyDescent="0.25">
      <c r="A11" t="s">
        <v>126</v>
      </c>
      <c r="B11">
        <v>0.158</v>
      </c>
      <c r="C11">
        <v>1E-3</v>
      </c>
      <c r="D11" s="1">
        <v>7</v>
      </c>
      <c r="E11" s="1">
        <v>3.0300000000000001E-2</v>
      </c>
      <c r="F11" s="1">
        <v>1E-4</v>
      </c>
      <c r="G11" s="1">
        <v>100</v>
      </c>
      <c r="H11" s="1">
        <v>5</v>
      </c>
      <c r="I11" s="1">
        <f>'Count-&gt;Actual Activity'!F11</f>
        <v>0.42138814734450952</v>
      </c>
      <c r="J11" s="1">
        <f>'Count-&gt;Actual Activity'!G11</f>
        <v>0.12664475118406002</v>
      </c>
      <c r="K11" s="1">
        <v>5</v>
      </c>
      <c r="L11" s="1">
        <v>0.02</v>
      </c>
      <c r="M11" s="1"/>
      <c r="N11" s="1"/>
      <c r="O11" s="1"/>
      <c r="P11" s="1"/>
      <c r="Q11">
        <f t="shared" si="2"/>
        <v>8.427762946890191E-2</v>
      </c>
      <c r="R11">
        <f t="shared" si="3"/>
        <v>2.533119348945409E-2</v>
      </c>
      <c r="S11">
        <f>B11*Parameters!$B$6</f>
        <v>53.988024914288303</v>
      </c>
      <c r="T11">
        <f>SQRT((C11/B11)^2+(Parameters!$C$6/Parameters!$B$6)^2)*'Bottle Results'!S11</f>
        <v>0.34229276393694419</v>
      </c>
      <c r="U11">
        <f t="shared" si="0"/>
        <v>1503.6390088250203</v>
      </c>
      <c r="W11">
        <f t="shared" si="1"/>
        <v>0.8438956979761687</v>
      </c>
    </row>
    <row r="12" spans="1:23" x14ac:dyDescent="0.25">
      <c r="A12" t="s">
        <v>127</v>
      </c>
      <c r="B12">
        <v>0.158</v>
      </c>
      <c r="C12">
        <v>1E-3</v>
      </c>
      <c r="D12" s="1">
        <v>7</v>
      </c>
      <c r="E12" s="1">
        <v>2.9600000000000001E-2</v>
      </c>
      <c r="F12" s="1">
        <v>1E-4</v>
      </c>
      <c r="G12" s="1">
        <v>100</v>
      </c>
      <c r="H12" s="1">
        <v>5</v>
      </c>
      <c r="I12" s="1">
        <f>'Count-&gt;Actual Activity'!F12</f>
        <v>0.42415119901599829</v>
      </c>
      <c r="J12" s="1">
        <f>'Count-&gt;Actual Activity'!G12</f>
        <v>0.12664472364795179</v>
      </c>
      <c r="K12" s="1">
        <v>5</v>
      </c>
      <c r="L12" s="1">
        <v>0.02</v>
      </c>
      <c r="M12" s="1"/>
      <c r="N12" s="1"/>
      <c r="O12" s="1"/>
      <c r="P12" s="1"/>
      <c r="Q12">
        <f t="shared" si="2"/>
        <v>8.4830239803199661E-2</v>
      </c>
      <c r="R12">
        <f t="shared" si="3"/>
        <v>2.5331217495967388E-2</v>
      </c>
      <c r="S12">
        <f>B12*Parameters!$B$6</f>
        <v>53.988024914288303</v>
      </c>
      <c r="T12">
        <f>SQRT((C12/B12)^2+(Parameters!$C$6/Parameters!$B$6)^2)*'Bottle Results'!S12</f>
        <v>0.34229276393694419</v>
      </c>
      <c r="U12">
        <f t="shared" si="0"/>
        <v>1537.3311126340652</v>
      </c>
      <c r="W12">
        <f t="shared" si="1"/>
        <v>0.84287211851539912</v>
      </c>
    </row>
    <row r="13" spans="1:23" x14ac:dyDescent="0.25">
      <c r="A13" t="s">
        <v>128</v>
      </c>
      <c r="B13">
        <v>0.158</v>
      </c>
      <c r="C13">
        <v>1E-3</v>
      </c>
      <c r="D13" s="1">
        <v>7</v>
      </c>
      <c r="E13" s="1">
        <v>3.0599999999999999E-2</v>
      </c>
      <c r="F13" s="1">
        <v>1E-4</v>
      </c>
      <c r="G13" s="1">
        <v>100</v>
      </c>
      <c r="H13" s="1">
        <v>5</v>
      </c>
      <c r="I13" s="1">
        <f>'Count-&gt;Actual Activity'!F13</f>
        <v>0.37283738225979146</v>
      </c>
      <c r="J13" s="1">
        <f>'Count-&gt;Actual Activity'!G13</f>
        <v>0.12664523513009623</v>
      </c>
      <c r="K13" s="1">
        <v>5</v>
      </c>
      <c r="L13" s="1">
        <v>0.02</v>
      </c>
      <c r="M13" s="1"/>
      <c r="N13" s="1"/>
      <c r="O13" s="1"/>
      <c r="P13" s="1"/>
      <c r="Q13">
        <f t="shared" si="2"/>
        <v>7.4567476451958298E-2</v>
      </c>
      <c r="R13">
        <f t="shared" si="3"/>
        <v>2.533080314918983E-2</v>
      </c>
      <c r="S13">
        <f>B13*Parameters!$B$6</f>
        <v>53.988024914288303</v>
      </c>
      <c r="T13">
        <f>SQRT((C13/B13)^2+(Parameters!$C$6/Parameters!$B$6)^2)*'Bottle Results'!S13</f>
        <v>0.34229276393694419</v>
      </c>
      <c r="U13">
        <f t="shared" si="0"/>
        <v>1520.6299761141331</v>
      </c>
      <c r="W13">
        <f t="shared" si="1"/>
        <v>0.86188145135825567</v>
      </c>
    </row>
    <row r="14" spans="1:23" x14ac:dyDescent="0.25">
      <c r="A14" t="s">
        <v>129</v>
      </c>
      <c r="B14">
        <v>0.39600000000000002</v>
      </c>
      <c r="C14">
        <v>1E-3</v>
      </c>
      <c r="D14" s="1">
        <v>7</v>
      </c>
      <c r="E14" s="1">
        <v>2.9100000000000001E-2</v>
      </c>
      <c r="F14" s="1">
        <v>1E-4</v>
      </c>
      <c r="G14" s="1">
        <v>100</v>
      </c>
      <c r="H14" s="1">
        <v>5</v>
      </c>
      <c r="I14" s="1">
        <f>'Count-&gt;Actual Activity'!F14</f>
        <v>0.94301283075471176</v>
      </c>
      <c r="J14" s="1">
        <f>'Count-&gt;Actual Activity'!G14</f>
        <v>0.12663956332864382</v>
      </c>
      <c r="K14" s="1">
        <v>5</v>
      </c>
      <c r="L14" s="1">
        <v>0.02</v>
      </c>
      <c r="M14" s="1"/>
      <c r="N14" s="1"/>
      <c r="O14" s="1"/>
      <c r="P14" s="1"/>
      <c r="Q14">
        <f t="shared" si="2"/>
        <v>0.18860256615094234</v>
      </c>
      <c r="R14">
        <f t="shared" si="3"/>
        <v>2.5339145503550882E-2</v>
      </c>
      <c r="S14">
        <f>B14*Parameters!$B$6</f>
        <v>135.31175864593777</v>
      </c>
      <c r="T14">
        <f>SQRT((C14/B14)^2+(Parameters!$C$6/Parameters!$B$6)^2)*'Bottle Results'!S14</f>
        <v>0.34542569907599352</v>
      </c>
      <c r="U14">
        <f t="shared" si="0"/>
        <v>4001.7698292386094</v>
      </c>
      <c r="W14">
        <f t="shared" si="1"/>
        <v>0.8606162775221573</v>
      </c>
    </row>
    <row r="15" spans="1:23" x14ac:dyDescent="0.25">
      <c r="A15" t="s">
        <v>130</v>
      </c>
      <c r="B15">
        <v>0.39600000000000002</v>
      </c>
      <c r="C15">
        <v>1E-3</v>
      </c>
      <c r="D15" s="1">
        <v>7</v>
      </c>
      <c r="E15" s="1">
        <v>3.0700000000000002E-2</v>
      </c>
      <c r="F15" s="1">
        <v>1E-4</v>
      </c>
      <c r="G15" s="1">
        <v>100</v>
      </c>
      <c r="H15" s="1">
        <v>5</v>
      </c>
      <c r="I15" s="1">
        <f>'Count-&gt;Actual Activity'!F15</f>
        <v>0.97972194581876693</v>
      </c>
      <c r="J15" s="1">
        <f>'Count-&gt;Actual Activity'!G15</f>
        <v>0.12663919903589219</v>
      </c>
      <c r="K15" s="1">
        <v>5</v>
      </c>
      <c r="L15" s="1">
        <v>0.02</v>
      </c>
      <c r="M15" s="1"/>
      <c r="N15" s="1"/>
      <c r="O15" s="1"/>
      <c r="P15" s="1"/>
      <c r="Q15">
        <f t="shared" si="2"/>
        <v>0.1959443891637534</v>
      </c>
      <c r="R15">
        <f t="shared" si="3"/>
        <v>2.5339964020424509E-2</v>
      </c>
      <c r="S15">
        <f>B15*Parameters!$B$6</f>
        <v>135.31175864593777</v>
      </c>
      <c r="T15">
        <f>SQRT((C15/B15)^2+(Parameters!$C$6/Parameters!$B$6)^2)*'Bottle Results'!S15</f>
        <v>0.34542569907599352</v>
      </c>
      <c r="U15">
        <f t="shared" si="0"/>
        <v>3769.2938022658773</v>
      </c>
      <c r="W15">
        <f t="shared" si="1"/>
        <v>0.85519042016409719</v>
      </c>
    </row>
    <row r="16" spans="1:23" x14ac:dyDescent="0.25">
      <c r="A16" t="s">
        <v>131</v>
      </c>
      <c r="B16">
        <v>0.39600000000000002</v>
      </c>
      <c r="C16">
        <v>1E-3</v>
      </c>
      <c r="D16" s="1">
        <v>7</v>
      </c>
      <c r="E16" s="1">
        <v>3.04E-2</v>
      </c>
      <c r="F16" s="1">
        <v>1E-4</v>
      </c>
      <c r="G16" s="1">
        <v>100</v>
      </c>
      <c r="H16" s="1">
        <v>5</v>
      </c>
      <c r="I16" s="1">
        <f>'Count-&gt;Actual Activity'!F16</f>
        <v>0.96985390413488148</v>
      </c>
      <c r="J16" s="1">
        <f>'Count-&gt;Actual Activity'!G16</f>
        <v>0.12663929695370765</v>
      </c>
      <c r="K16" s="1">
        <v>5</v>
      </c>
      <c r="L16" s="1">
        <v>0.02</v>
      </c>
      <c r="M16" s="1"/>
      <c r="N16" s="1"/>
      <c r="O16" s="1"/>
      <c r="P16" s="1"/>
      <c r="Q16">
        <f t="shared" si="2"/>
        <v>0.1939707808269763</v>
      </c>
      <c r="R16">
        <f t="shared" si="3"/>
        <v>2.5339740644651592E-2</v>
      </c>
      <c r="S16">
        <f>B16*Parameters!$B$6</f>
        <v>135.31175864593777</v>
      </c>
      <c r="T16">
        <f>SQRT((C16/B16)^2+(Parameters!$C$6/Parameters!$B$6)^2)*'Bottle Results'!S16</f>
        <v>0.34542569907599352</v>
      </c>
      <c r="U16">
        <f t="shared" si="0"/>
        <v>3812.9829132644782</v>
      </c>
      <c r="W16">
        <f t="shared" si="1"/>
        <v>0.8566489839700272</v>
      </c>
    </row>
    <row r="17" spans="1:23" x14ac:dyDescent="0.25">
      <c r="A17" t="s">
        <v>132</v>
      </c>
      <c r="B17">
        <v>0.79200000000000004</v>
      </c>
      <c r="C17">
        <v>1E-3</v>
      </c>
      <c r="D17" s="1">
        <v>7</v>
      </c>
      <c r="E17" s="1">
        <v>0.03</v>
      </c>
      <c r="F17" s="1">
        <v>1E-3</v>
      </c>
      <c r="G17" s="1">
        <v>100</v>
      </c>
      <c r="H17" s="1">
        <v>5</v>
      </c>
      <c r="I17" s="1">
        <f>'Count-&gt;Actual Activity'!F17</f>
        <v>1.6514395432408682</v>
      </c>
      <c r="J17" s="1">
        <f>'Count-&gt;Actual Activity'!G17</f>
        <v>0.12663255165030191</v>
      </c>
      <c r="K17" s="1">
        <v>5</v>
      </c>
      <c r="L17" s="1">
        <v>0.02</v>
      </c>
      <c r="Q17">
        <f t="shared" si="2"/>
        <v>0.33028790864817364</v>
      </c>
      <c r="R17">
        <f t="shared" si="3"/>
        <v>2.5360945706740558E-2</v>
      </c>
      <c r="S17">
        <f>B17*Parameters!$B$6</f>
        <v>270.62351729187554</v>
      </c>
      <c r="T17">
        <f>SQRT((C17/B17)^2+(Parameters!$C$6/Parameters!$B$6)^2)*'Bottle Results'!S17</f>
        <v>0.35637963826780028</v>
      </c>
      <c r="U17">
        <f t="shared" si="0"/>
        <v>7919.8242142352719</v>
      </c>
      <c r="W17">
        <f t="shared" si="1"/>
        <v>0.87795299094721746</v>
      </c>
    </row>
    <row r="18" spans="1:23" x14ac:dyDescent="0.25">
      <c r="A18" t="s">
        <v>133</v>
      </c>
      <c r="B18">
        <v>0.79200000000000004</v>
      </c>
      <c r="C18">
        <v>1E-3</v>
      </c>
      <c r="D18" s="1">
        <v>7.01</v>
      </c>
      <c r="E18" s="1">
        <v>3.0099999999999998E-2</v>
      </c>
      <c r="F18" s="1">
        <v>1E-4</v>
      </c>
      <c r="G18" s="1">
        <v>100</v>
      </c>
      <c r="H18" s="1">
        <v>5</v>
      </c>
      <c r="I18" s="1">
        <f>'Count-&gt;Actual Activity'!F18</f>
        <v>2.1057641823669737</v>
      </c>
      <c r="J18" s="1">
        <f>'Count-&gt;Actual Activity'!G18</f>
        <v>0.12662807558875799</v>
      </c>
      <c r="K18" s="1">
        <v>5</v>
      </c>
      <c r="L18" s="1">
        <v>0.02</v>
      </c>
      <c r="Q18">
        <f t="shared" si="2"/>
        <v>0.42115283647339474</v>
      </c>
      <c r="R18">
        <f t="shared" si="3"/>
        <v>2.5381581835638253E-2</v>
      </c>
      <c r="S18">
        <f>B18*Parameters!$B$6</f>
        <v>270.62351729187554</v>
      </c>
      <c r="T18">
        <f>SQRT((C18/B18)^2+(Parameters!$C$6/Parameters!$B$6)^2)*'Bottle Results'!S18</f>
        <v>0.35637963826780028</v>
      </c>
      <c r="U18">
        <f t="shared" si="0"/>
        <v>7591.6356692536901</v>
      </c>
      <c r="W18">
        <f t="shared" si="1"/>
        <v>0.84437685213470604</v>
      </c>
    </row>
    <row r="19" spans="1:23" x14ac:dyDescent="0.25">
      <c r="A19" t="s">
        <v>134</v>
      </c>
      <c r="B19">
        <v>0.79200000000000004</v>
      </c>
      <c r="C19">
        <v>1E-3</v>
      </c>
      <c r="D19" s="1">
        <v>7</v>
      </c>
      <c r="E19" s="1">
        <v>3.0499999999999999E-2</v>
      </c>
      <c r="F19" s="1">
        <v>1E-4</v>
      </c>
      <c r="G19" s="1">
        <v>100</v>
      </c>
      <c r="H19" s="1">
        <v>5</v>
      </c>
      <c r="I19" s="1">
        <f>'Count-&gt;Actual Activity'!F19</f>
        <v>1.8065651585115527</v>
      </c>
      <c r="J19" s="1">
        <f>'Count-&gt;Actual Activity'!G19</f>
        <v>0.12663102152099548</v>
      </c>
      <c r="K19" s="1">
        <v>5</v>
      </c>
      <c r="L19" s="1">
        <v>0.02</v>
      </c>
      <c r="Q19">
        <f t="shared" si="2"/>
        <v>0.36131303170231055</v>
      </c>
      <c r="R19">
        <f t="shared" si="3"/>
        <v>2.5367407793625257E-2</v>
      </c>
      <c r="S19">
        <f>B19*Parameters!$B$6</f>
        <v>270.62351729187554</v>
      </c>
      <c r="T19">
        <f>SQRT((C19/B19)^2+(Parameters!$C$6/Parameters!$B$6)^2)*'Bottle Results'!S19</f>
        <v>0.35637963826780028</v>
      </c>
      <c r="U19">
        <f t="shared" si="0"/>
        <v>7688.2693154637536</v>
      </c>
      <c r="W19">
        <f t="shared" si="1"/>
        <v>0.86648867943260688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K18" sqref="K18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136</v>
      </c>
      <c r="D1" t="s">
        <v>32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2" spans="1:10" x14ac:dyDescent="0.25">
      <c r="A2">
        <v>0</v>
      </c>
      <c r="B2">
        <f>AVERAGE('Bottle Results'!Q2:Q4)</f>
        <v>2.4654921614864028E-2</v>
      </c>
      <c r="C2">
        <f>_xlfn.STDEV.S('Bottle Results'!Q2:Q4)</f>
        <v>3.6014972521296876E-4</v>
      </c>
      <c r="D2">
        <f>AVERAGE('Bottle Results'!U2:U4)</f>
        <v>-82.098656192321911</v>
      </c>
      <c r="E2">
        <f>_xlfn.STDEV.S('Bottle Results'!U2:U4)</f>
        <v>1.668111752293403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7</v>
      </c>
      <c r="J2">
        <f>_xlfn.STDEV.S('Bottle Results'!D2:D4)</f>
        <v>9.9999999999997868E-3</v>
      </c>
    </row>
    <row r="3" spans="1:10" x14ac:dyDescent="0.25">
      <c r="A3">
        <v>10</v>
      </c>
      <c r="B3">
        <f>AVERAGE('Bottle Results'!Q5:Q7)</f>
        <v>2.7589019342206169E-2</v>
      </c>
      <c r="C3">
        <f>_xlfn.STDEV.S('Bottle Results'!Q5:Q7)</f>
        <v>3.9930019937687921E-4</v>
      </c>
      <c r="D3">
        <f>AVERAGE('Bottle Results'!U5:U7)</f>
        <v>87.12511502472772</v>
      </c>
      <c r="E3">
        <f>_xlfn.STDEV.S('Bottle Results'!U5:U7)</f>
        <v>1.0435857198489298</v>
      </c>
      <c r="F3">
        <f>AVERAGE('Bottle Results'!S5:S7)</f>
        <v>5.3988024914288308</v>
      </c>
      <c r="G3">
        <f>AVERAGE('Bottle Results'!W5:W7)</f>
        <v>0.4889789099340705</v>
      </c>
      <c r="H3">
        <f>_xlfn.STDEV.S('Bottle Results'!W5:W7)</f>
        <v>7.3960882994110431E-3</v>
      </c>
      <c r="I3">
        <f>AVERAGE('Bottle Results'!D5:D7)</f>
        <v>7.003333333333333</v>
      </c>
      <c r="J3">
        <f>_xlfn.STDEV.S('Bottle Results'!D5:D7)</f>
        <v>5.7735026918961348E-3</v>
      </c>
    </row>
    <row r="4" spans="1:10" x14ac:dyDescent="0.25">
      <c r="A4">
        <v>50</v>
      </c>
      <c r="B4">
        <f>AVERAGE('Bottle Results'!Q8:Q10)</f>
        <v>4.7292209237698085E-2</v>
      </c>
      <c r="C4">
        <f>_xlfn.STDEV.S('Bottle Results'!Q8:Q10)</f>
        <v>2.5572511675038597E-3</v>
      </c>
      <c r="D4">
        <f>AVERAGE('Bottle Results'!U8:U10)</f>
        <v>737.95538629449766</v>
      </c>
      <c r="E4">
        <f>_xlfn.STDEV.S('Bottle Results'!U8:U10)</f>
        <v>7.8745213384354669</v>
      </c>
      <c r="F4">
        <f>AVERAGE('Bottle Results'!S8:S10)</f>
        <v>27.062351729187554</v>
      </c>
      <c r="G4">
        <f>AVERAGE('Bottle Results'!W8:W10)</f>
        <v>0.82524723013376533</v>
      </c>
      <c r="H4">
        <f>_xlfn.STDEV.S('Bottle Results'!W8:W10)</f>
        <v>9.4494787189754147E-3</v>
      </c>
      <c r="I4">
        <f>AVERAGE('Bottle Results'!D8:D10)</f>
        <v>7</v>
      </c>
      <c r="J4">
        <f>_xlfn.STDEV.S('Bottle Results'!D8:D10)</f>
        <v>9.9999999999997868E-3</v>
      </c>
    </row>
    <row r="5" spans="1:10" x14ac:dyDescent="0.25">
      <c r="A5">
        <v>100</v>
      </c>
      <c r="B5">
        <f>AVERAGE('Bottle Results'!Q11:Q13)</f>
        <v>8.1225115241353299E-2</v>
      </c>
      <c r="C5">
        <f>_xlfn.STDEV.S('Bottle Results'!Q11:Q13)</f>
        <v>5.7723011211245536E-3</v>
      </c>
      <c r="D5">
        <f>AVERAGE('Bottle Results'!U11:U13)</f>
        <v>1520.5333658577395</v>
      </c>
      <c r="E5">
        <f>_xlfn.STDEV.S('Bottle Results'!U11:U13)</f>
        <v>16.846259671692582</v>
      </c>
      <c r="F5">
        <f>AVERAGE('Bottle Results'!S11:S13)</f>
        <v>53.988024914288303</v>
      </c>
      <c r="G5">
        <f>AVERAGE('Bottle Results'!W11:W13)</f>
        <v>0.84954975594994109</v>
      </c>
      <c r="H5">
        <f>_xlfn.STDEV.S('Bottle Results'!W11:W13)</f>
        <v>1.0691817547111021E-2</v>
      </c>
      <c r="I5">
        <f>AVERAGE('Bottle Results'!D11:D13)</f>
        <v>7</v>
      </c>
      <c r="J5">
        <f>_xlfn.STDEV.S('Bottle Results'!D3:D11)</f>
        <v>6.6666666666665248E-3</v>
      </c>
    </row>
    <row r="6" spans="1:10" x14ac:dyDescent="0.25">
      <c r="A6">
        <v>250</v>
      </c>
      <c r="B6">
        <f>AVERAGE('Bottle Results'!Q14:Q16)</f>
        <v>0.19283924538055733</v>
      </c>
      <c r="C6">
        <f>_xlfn.STDEV.S('Bottle Results'!Q14:Q16)</f>
        <v>3.7994566240105191E-3</v>
      </c>
      <c r="D6">
        <f>AVERAGE('Bottle Results'!U14:U16)</f>
        <v>3861.3488482563212</v>
      </c>
      <c r="E6">
        <f>_xlfn.STDEV.S('Bottle Results'!U14:U16)</f>
        <v>123.55453666289652</v>
      </c>
      <c r="F6">
        <f>AVERAGE('Bottle Results'!S14:S16)</f>
        <v>135.31175864593777</v>
      </c>
      <c r="G6">
        <f>AVERAGE('Bottle Results'!W14:W16)</f>
        <v>0.85748522721876064</v>
      </c>
      <c r="H6">
        <f>_xlfn.STDEV.S('Bottle Results'!W14:W16)</f>
        <v>2.8079279007468959E-3</v>
      </c>
      <c r="I6">
        <f>AVERAGE('Bottle Results'!D14:D16)</f>
        <v>7</v>
      </c>
      <c r="J6">
        <f>_xlfn.STDEV.S('Bottle Results'!D14:D16)</f>
        <v>0</v>
      </c>
    </row>
    <row r="7" spans="1:10" x14ac:dyDescent="0.25">
      <c r="A7">
        <v>500</v>
      </c>
      <c r="B7">
        <f>AVERAGE('Bottle Results'!Q17:Q19)</f>
        <v>0.37091792560795961</v>
      </c>
      <c r="C7">
        <f>_xlfn.STDEV.S('Bottle Results'!Q17:Q19)</f>
        <v>4.6187652758878518E-2</v>
      </c>
      <c r="D7">
        <f>AVERAGE('Bottle Results'!U17:U19)</f>
        <v>7733.2430663175719</v>
      </c>
      <c r="E7">
        <f>_xlfn.STDEV.S('Bottle Results'!U17:U19)</f>
        <v>168.65322102965578</v>
      </c>
      <c r="F7">
        <f>AVERAGE('Bottle Results'!S17:S19)</f>
        <v>270.62351729187554</v>
      </c>
      <c r="G7">
        <f>AVERAGE('Bottle Results'!W17:W19)</f>
        <v>0.86293950750484349</v>
      </c>
      <c r="H7">
        <f>_xlfn.STDEV.S('Bottle Results'!W17:W19)</f>
        <v>1.7067124550400308E-2</v>
      </c>
      <c r="I7">
        <f>AVERAGE('Bottle Results'!D17:D19)</f>
        <v>7.003333333333333</v>
      </c>
      <c r="J7">
        <f>_xlfn.STDEV.S('Bottle Results'!D17:D19)</f>
        <v>5.7735026918961348E-3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2016-05-23T14:05:57Z</dcterms:modified>
</cp:coreProperties>
</file>