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"/>
    </mc:Choice>
  </mc:AlternateContent>
  <bookViews>
    <workbookView xWindow="0" yWindow="0" windowWidth="7470" windowHeight="12285"/>
  </bookViews>
  <sheets>
    <sheet name="Parameters" sheetId="1" r:id="rId1"/>
    <sheet name="Scintillation Counter Results" sheetId="3" r:id="rId2"/>
    <sheet name="Calibration Data" sheetId="10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G2" i="2"/>
  <c r="F2" i="2"/>
  <c r="D10" i="10"/>
  <c r="C10" i="10"/>
  <c r="E10" i="10" s="1"/>
  <c r="H9" i="10"/>
  <c r="I9" i="10" s="1"/>
  <c r="G9" i="10"/>
  <c r="F9" i="10"/>
  <c r="D9" i="10"/>
  <c r="J9" i="10" s="1"/>
  <c r="K9" i="10" s="1"/>
  <c r="C9" i="10"/>
  <c r="E9" i="10" s="1"/>
  <c r="J8" i="10"/>
  <c r="H8" i="10"/>
  <c r="I8" i="10" s="1"/>
  <c r="E8" i="10"/>
  <c r="D8" i="10"/>
  <c r="H7" i="10"/>
  <c r="I7" i="10" s="1"/>
  <c r="G7" i="10"/>
  <c r="F7" i="10"/>
  <c r="G8" i="10" s="1"/>
  <c r="E7" i="10"/>
  <c r="D7" i="10"/>
  <c r="J7" i="10" s="1"/>
  <c r="K7" i="10" s="1"/>
  <c r="I6" i="10"/>
  <c r="H6" i="10"/>
  <c r="G6" i="10"/>
  <c r="E6" i="10"/>
  <c r="D6" i="10"/>
  <c r="J6" i="10" s="1"/>
  <c r="K6" i="10" s="1"/>
  <c r="G5" i="10"/>
  <c r="E5" i="10"/>
  <c r="D5" i="10"/>
  <c r="J5" i="10" s="1"/>
  <c r="K5" i="10" s="1"/>
  <c r="G4" i="10"/>
  <c r="E4" i="10"/>
  <c r="D4" i="10"/>
  <c r="J4" i="10" s="1"/>
  <c r="K4" i="10" s="1"/>
  <c r="E3" i="10"/>
  <c r="D3" i="10"/>
  <c r="J3" i="10" s="1"/>
  <c r="J2" i="10"/>
  <c r="K2" i="10" s="1"/>
  <c r="G2" i="10"/>
  <c r="E2" i="10"/>
  <c r="D2" i="10"/>
  <c r="H2" i="10" s="1"/>
  <c r="I2" i="10" s="1"/>
  <c r="K8" i="10" l="1"/>
  <c r="K3" i="10"/>
  <c r="K11" i="10" s="1"/>
  <c r="H5" i="10"/>
  <c r="I5" i="10" s="1"/>
  <c r="G3" i="10"/>
  <c r="H4" i="10"/>
  <c r="I4" i="10" s="1"/>
  <c r="H3" i="10"/>
  <c r="I3" i="10" s="1"/>
  <c r="I11" i="10" s="1"/>
  <c r="J7" i="8" l="1"/>
  <c r="J6" i="8"/>
  <c r="J5" i="8"/>
  <c r="J4" i="8"/>
  <c r="J3" i="8"/>
  <c r="I7" i="8"/>
  <c r="I6" i="8"/>
  <c r="I5" i="8"/>
  <c r="I4" i="8"/>
  <c r="I3" i="8"/>
  <c r="J2" i="8"/>
  <c r="I2" i="8"/>
  <c r="S3" i="5" l="1"/>
  <c r="T3" i="5" s="1"/>
  <c r="S4" i="5"/>
  <c r="T4" i="5" s="1"/>
  <c r="S5" i="5"/>
  <c r="T5" i="5" s="1"/>
  <c r="S6" i="5"/>
  <c r="T6" i="5" s="1"/>
  <c r="S7" i="5"/>
  <c r="T7" i="5" s="1"/>
  <c r="S8" i="5"/>
  <c r="T8" i="5" s="1"/>
  <c r="S9" i="5"/>
  <c r="T9" i="5" s="1"/>
  <c r="S10" i="5"/>
  <c r="T10" i="5" s="1"/>
  <c r="S11" i="5"/>
  <c r="T11" i="5" s="1"/>
  <c r="S12" i="5"/>
  <c r="T12" i="5" s="1"/>
  <c r="S13" i="5"/>
  <c r="T13" i="5" s="1"/>
  <c r="S14" i="5"/>
  <c r="T14" i="5" s="1"/>
  <c r="S15" i="5"/>
  <c r="T15" i="5" s="1"/>
  <c r="S16" i="5"/>
  <c r="T16" i="5" s="1"/>
  <c r="S17" i="5"/>
  <c r="T17" i="5" s="1"/>
  <c r="S18" i="5"/>
  <c r="T18" i="5" s="1"/>
  <c r="S19" i="5"/>
  <c r="T19" i="5" s="1"/>
  <c r="S2" i="5"/>
  <c r="T2" i="5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2"/>
  <c r="J17" i="5" l="1"/>
  <c r="J12" i="5"/>
  <c r="J11" i="5"/>
  <c r="I10" i="5"/>
  <c r="Q10" i="5" s="1"/>
  <c r="F4" i="8"/>
  <c r="F6" i="8"/>
  <c r="F3" i="8"/>
  <c r="F2" i="8"/>
  <c r="F5" i="8"/>
  <c r="F7" i="8"/>
  <c r="J18" i="5"/>
  <c r="R18" i="5" s="1"/>
  <c r="I18" i="5"/>
  <c r="Q18" i="5" s="1"/>
  <c r="U18" i="5" s="1"/>
  <c r="J10" i="5"/>
  <c r="J19" i="5"/>
  <c r="I19" i="5"/>
  <c r="Q19" i="5" s="1"/>
  <c r="U19" i="5" s="1"/>
  <c r="J3" i="5"/>
  <c r="I3" i="5"/>
  <c r="Q3" i="5" s="1"/>
  <c r="U3" i="5" s="1"/>
  <c r="J9" i="5"/>
  <c r="I9" i="5"/>
  <c r="Q9" i="5" s="1"/>
  <c r="U9" i="5" s="1"/>
  <c r="I16" i="5"/>
  <c r="Q16" i="5" s="1"/>
  <c r="W16" i="5" s="1"/>
  <c r="J16" i="5"/>
  <c r="I8" i="5"/>
  <c r="Q8" i="5" s="1"/>
  <c r="J8" i="5"/>
  <c r="J15" i="5"/>
  <c r="I15" i="5"/>
  <c r="Q15" i="5" s="1"/>
  <c r="U15" i="5" s="1"/>
  <c r="J7" i="5"/>
  <c r="I7" i="5"/>
  <c r="Q7" i="5" s="1"/>
  <c r="W7" i="5" s="1"/>
  <c r="I14" i="5"/>
  <c r="Q14" i="5" s="1"/>
  <c r="J14" i="5"/>
  <c r="J6" i="5"/>
  <c r="I6" i="5"/>
  <c r="Q6" i="5" s="1"/>
  <c r="U6" i="5" s="1"/>
  <c r="J13" i="5"/>
  <c r="I13" i="5"/>
  <c r="Q13" i="5" s="1"/>
  <c r="W13" i="5" s="1"/>
  <c r="J5" i="5"/>
  <c r="I5" i="5"/>
  <c r="Q5" i="5" s="1"/>
  <c r="W5" i="5" s="1"/>
  <c r="I4" i="5"/>
  <c r="Q4" i="5" s="1"/>
  <c r="U4" i="5" s="1"/>
  <c r="J4" i="5"/>
  <c r="I17" i="5"/>
  <c r="Q17" i="5" s="1"/>
  <c r="I12" i="5"/>
  <c r="Q12" i="5" s="1"/>
  <c r="U12" i="5" s="1"/>
  <c r="I11" i="5"/>
  <c r="Q11" i="5" s="1"/>
  <c r="W11" i="5" s="1"/>
  <c r="J2" i="5"/>
  <c r="W10" i="5" l="1"/>
  <c r="U10" i="5"/>
  <c r="R10" i="5"/>
  <c r="R4" i="5"/>
  <c r="R14" i="5"/>
  <c r="R16" i="5"/>
  <c r="R8" i="5"/>
  <c r="R17" i="5"/>
  <c r="R13" i="5"/>
  <c r="R12" i="5"/>
  <c r="R15" i="5"/>
  <c r="R6" i="5"/>
  <c r="R19" i="5"/>
  <c r="G3" i="8"/>
  <c r="R5" i="5"/>
  <c r="R7" i="5"/>
  <c r="R9" i="5"/>
  <c r="R11" i="5"/>
  <c r="H5" i="8"/>
  <c r="R3" i="5"/>
  <c r="W4" i="5"/>
  <c r="U5" i="5"/>
  <c r="W15" i="5"/>
  <c r="B7" i="8"/>
  <c r="C7" i="8"/>
  <c r="B4" i="8"/>
  <c r="C4" i="8"/>
  <c r="U13" i="5"/>
  <c r="W12" i="5"/>
  <c r="G5" i="8" s="1"/>
  <c r="W3" i="5"/>
  <c r="W6" i="5"/>
  <c r="H3" i="8" s="1"/>
  <c r="B6" i="8"/>
  <c r="C6" i="8"/>
  <c r="U8" i="5"/>
  <c r="W8" i="5"/>
  <c r="C3" i="8"/>
  <c r="B3" i="8"/>
  <c r="U16" i="5"/>
  <c r="W9" i="5"/>
  <c r="W19" i="5"/>
  <c r="W18" i="5"/>
  <c r="W17" i="5"/>
  <c r="U7" i="5"/>
  <c r="W14" i="5"/>
  <c r="U17" i="5"/>
  <c r="C5" i="8"/>
  <c r="B5" i="8"/>
  <c r="U11" i="5"/>
  <c r="U14" i="5"/>
  <c r="I2" i="5"/>
  <c r="Q2" i="5" s="1"/>
  <c r="R2" i="5" s="1"/>
  <c r="D3" i="8" l="1"/>
  <c r="G6" i="8"/>
  <c r="H6" i="8"/>
  <c r="G4" i="8"/>
  <c r="H4" i="8"/>
  <c r="G7" i="8"/>
  <c r="H7" i="8"/>
  <c r="E3" i="8"/>
  <c r="E7" i="8"/>
  <c r="D7" i="8"/>
  <c r="C2" i="8"/>
  <c r="B2" i="8"/>
  <c r="U2" i="5"/>
  <c r="W2" i="5"/>
  <c r="G2" i="8" s="1"/>
  <c r="E6" i="8"/>
  <c r="D6" i="8"/>
  <c r="D5" i="8"/>
  <c r="E5" i="8"/>
  <c r="D4" i="8"/>
  <c r="E4" i="8"/>
  <c r="E2" i="8" l="1"/>
  <c r="D2" i="8"/>
</calcChain>
</file>

<file path=xl/sharedStrings.xml><?xml version="1.0" encoding="utf-8"?>
<sst xmlns="http://schemas.openxmlformats.org/spreadsheetml/2006/main" count="236" uniqueCount="128">
  <si>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</si>
  <si>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</si>
  <si>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</si>
  <si>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</si>
  <si>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</si>
  <si>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</si>
  <si>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</si>
  <si>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</si>
  <si>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</si>
  <si>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</si>
  <si>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</si>
  <si>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</si>
  <si>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</si>
  <si>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</si>
  <si>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</si>
  <si>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</si>
  <si>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</si>
  <si>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</si>
  <si>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</si>
  <si>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</si>
  <si>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</si>
  <si>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</si>
  <si>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</si>
  <si>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Ra_Stock_4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</si>
  <si>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</si>
  <si>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</si>
  <si>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</si>
  <si>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</si>
  <si>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</si>
  <si>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</si>
  <si>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</si>
  <si>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</si>
  <si>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</si>
  <si>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</si>
  <si>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</si>
  <si>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</si>
  <si>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</si>
  <si>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</si>
  <si>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</si>
  <si>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</si>
  <si>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</si>
  <si>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</si>
  <si>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</si>
  <si>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</si>
  <si>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</si>
  <si>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</si>
  <si>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</si>
  <si>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</si>
  <si>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</si>
  <si>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</si>
  <si>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</si>
  <si>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</si>
  <si>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</si>
  <si>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</si>
  <si>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</si>
  <si>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</si>
  <si>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</si>
  <si>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</si>
  <si>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</si>
  <si>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</si>
  <si>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</si>
  <si>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</si>
  <si>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</si>
  <si>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</si>
  <si>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</si>
  <si>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</si>
  <si>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</si>
  <si>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</si>
  <si>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</si>
  <si>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</si>
  <si>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</si>
  <si>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</si>
  <si>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</si>
  <si>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</si>
  <si>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</si>
  <si>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</si>
  <si>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Solution counts (Bq)</t>
  </si>
  <si>
    <t>Solution Counts error (Bq)</t>
  </si>
  <si>
    <t>Solid Counts (Bq)</t>
  </si>
  <si>
    <t>Solid Counts Error (Bq)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</si>
  <si>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</si>
  <si>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</si>
  <si>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</si>
  <si>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</si>
  <si>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</si>
  <si>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</si>
  <si>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Calibration Method</t>
  </si>
  <si>
    <t>Activity (Bq)</t>
  </si>
  <si>
    <t>Activity Error (Bq)</t>
  </si>
  <si>
    <t>Phase</t>
  </si>
  <si>
    <t>Water</t>
  </si>
  <si>
    <t>0A</t>
  </si>
  <si>
    <t>0B</t>
  </si>
  <si>
    <t>0C</t>
  </si>
  <si>
    <t>10A</t>
  </si>
  <si>
    <t>10B</t>
  </si>
  <si>
    <t>10C</t>
  </si>
  <si>
    <t>50A</t>
  </si>
  <si>
    <t>50B</t>
  </si>
  <si>
    <t>50C</t>
  </si>
  <si>
    <t>100A</t>
  </si>
  <si>
    <t>100B</t>
  </si>
  <si>
    <t>100C</t>
  </si>
  <si>
    <t>250A</t>
  </si>
  <si>
    <t>250B</t>
  </si>
  <si>
    <t>250C</t>
  </si>
  <si>
    <t>500A</t>
  </si>
  <si>
    <t>500B</t>
  </si>
  <si>
    <t>500C</t>
  </si>
  <si>
    <t>Na Montmorillonite</t>
  </si>
  <si>
    <t>sCw (Bq/mL)</t>
  </si>
  <si>
    <t>sCs (Bq/g)</t>
  </si>
  <si>
    <t>TotAct</t>
  </si>
  <si>
    <t>fSorb</t>
  </si>
  <si>
    <t>sfsorb</t>
  </si>
  <si>
    <t>pH</t>
  </si>
  <si>
    <t>spH</t>
  </si>
  <si>
    <t>Gamma counter measured activity (Corrected for Geometry, Bq)</t>
  </si>
  <si>
    <t>Expected Activity (Bq)</t>
  </si>
  <si>
    <t>Scint Counter Activity, with RaStock5</t>
  </si>
  <si>
    <t>Error from Expected</t>
  </si>
  <si>
    <t>Scint Counter Activity, without RaStock5</t>
  </si>
  <si>
    <t>RaStock5</t>
  </si>
  <si>
    <t>RaStock4</t>
  </si>
  <si>
    <t>Average Rel Error</t>
  </si>
  <si>
    <t>Scintillation Counter Calibration</t>
  </si>
  <si>
    <t>CPS-&gt;Bq w/Background (RaStd only)</t>
  </si>
  <si>
    <t>cps-&gt;Bq (background, Stds, and RaStock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</si>
</sst>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11" fontId="2" fillId="0" borderId="0" xfId="0" applyNumberFormat="1" applyFont="1"/>
    <xf numFmtId="0" fontId="1" fillId="0" borderId="0" xfId="0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5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/>
    <xf numFmtId="0" fontId="0" fillId="0" borderId="0" xfId="0" applyFont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0" xfId="0" applyFont="1" applyFill="1" applyBorder="1"/>
    <xf numFmtId="0" fontId="0" fillId="0" borderId="0" xfId="0" applyBorder="1"/>
    <xf numFmtId="0" fontId="3" fillId="0" borderId="4" xfId="0" applyFont="1" applyFill="1" applyBorder="1" applyAlignment="1">
      <alignment horizontal="center" vertical="top"/>
    </xf>
    <xf numFmtId="0" fontId="2" fillId="0" borderId="4" xfId="0" applyFont="1" applyBorder="1"/>
    <xf numFmtId="11" fontId="2" fillId="0" borderId="4" xfId="0" applyNumberFormat="1" applyFont="1" applyBorder="1"/>
    <xf numFmtId="0" fontId="0" fillId="0" borderId="4" xfId="0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Data'!$G$2:$G$8</c:f>
              <c:numCache>
                <c:formatCode>General</c:formatCode>
                <c:ptCount val="7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Data'!$B$38:$B$44</c:f>
              <c:numCache>
                <c:formatCode>General</c:formatCode>
                <c:ptCount val="7"/>
                <c:pt idx="0">
                  <c:v>0.1441714628506657</c:v>
                </c:pt>
                <c:pt idx="1">
                  <c:v>0.52694379154793525</c:v>
                </c:pt>
                <c:pt idx="2">
                  <c:v>2.2192609148432805</c:v>
                </c:pt>
                <c:pt idx="3">
                  <c:v>4.3002759088928997</c:v>
                </c:pt>
                <c:pt idx="4">
                  <c:v>21.183118079488228</c:v>
                </c:pt>
                <c:pt idx="5">
                  <c:v>42.563623553202696</c:v>
                </c:pt>
                <c:pt idx="6">
                  <c:v>213.90420976854736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970112"/>
        <c:axId val="235474464"/>
      </c:scatterChart>
      <c:valAx>
        <c:axId val="22797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5474464"/>
        <c:crosses val="autoZero"/>
        <c:crossBetween val="midCat"/>
      </c:valAx>
      <c:valAx>
        <c:axId val="235474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970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0519469016990174E-2"/>
          <c:y val="0.28624189833413682"/>
          <c:w val="0.83812820928248166"/>
          <c:h val="0.53549252771974931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Data'!$G$2:$G$9</c:f>
              <c:numCache>
                <c:formatCode>General</c:formatCode>
                <c:ptCount val="8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  <c:pt idx="7">
                  <c:v>921.74647887323954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Data'!$B$72:$B$79</c:f>
              <c:numCache>
                <c:formatCode>General</c:formatCode>
                <c:ptCount val="8"/>
                <c:pt idx="0">
                  <c:v>-0.86244335302746633</c:v>
                </c:pt>
                <c:pt idx="1">
                  <c:v>-0.46848823374427229</c:v>
                </c:pt>
                <c:pt idx="2">
                  <c:v>1.273270363178999</c:v>
                </c:pt>
                <c:pt idx="3">
                  <c:v>3.4150827376553288</c:v>
                </c:pt>
                <c:pt idx="4">
                  <c:v>20.791161420752843</c:v>
                </c:pt>
                <c:pt idx="5">
                  <c:v>42.796303780178178</c:v>
                </c:pt>
                <c:pt idx="6">
                  <c:v>219.142648643325</c:v>
                </c:pt>
                <c:pt idx="7">
                  <c:v>920.50054699429393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468584"/>
        <c:axId val="235468976"/>
      </c:scatterChart>
      <c:valAx>
        <c:axId val="235468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5468976"/>
        <c:crosses val="autoZero"/>
        <c:crossBetween val="midCat"/>
      </c:valAx>
      <c:valAx>
        <c:axId val="235468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5468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314326</xdr:colOff>
      <xdr:row>14</xdr:row>
      <xdr:rowOff>19049</xdr:rowOff>
    </xdr:from>
    <xdr:to>
      <xdr:col>13</xdr:col>
      <xdr:colOff>1214438</xdr:colOff>
      <xdr:row>40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1457326</xdr:colOff>
      <xdr:row>48</xdr:row>
      <xdr:rowOff>104774</xdr:rowOff>
    </xdr:from>
    <xdr:to>
      <xdr:col>15</xdr:col>
      <xdr:colOff>119062</xdr:colOff>
      <xdr:row>77</xdr:row>
      <xdr:rowOff>119061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Calibration Data Legacy"/>
      <sheetName val="Gamma Counter Multinuclide Stan"/>
      <sheetName val="Quality Control Notes"/>
      <sheetName val="Gamma Counter Geometry"/>
      <sheetName val="Scint Cocktail Testing"/>
      <sheetName val="Calibration Data"/>
      <sheetName val="Stock Log"/>
    </sheetNames>
    <sheetDataSet>
      <sheetData sheetId="0"/>
      <sheetData sheetId="1"/>
      <sheetData sheetId="2"/>
      <sheetData sheetId="3"/>
      <sheetData sheetId="4"/>
      <sheetData sheetId="5">
        <row r="6">
          <cell r="G6">
            <v>42.769009531437398</v>
          </cell>
        </row>
      </sheetData>
      <sheetData sheetId="6"/>
      <sheetData sheetId="7">
        <row r="2">
          <cell r="D2">
            <v>1.1544444444444444</v>
          </cell>
          <cell r="G2">
            <v>0</v>
          </cell>
        </row>
        <row r="3">
          <cell r="D3">
            <v>3.5588888888888888</v>
          </cell>
          <cell r="G3">
            <v>0.42769009531437396</v>
          </cell>
        </row>
        <row r="4">
          <cell r="D4">
            <v>14.189444444444446</v>
          </cell>
          <cell r="G4">
            <v>2.1384504765718702</v>
          </cell>
        </row>
        <row r="5">
          <cell r="D5">
            <v>27.261666666666667</v>
          </cell>
          <cell r="G5">
            <v>4.2769009531437403</v>
          </cell>
        </row>
        <row r="6">
          <cell r="D6">
            <v>133.3138888888889</v>
          </cell>
          <cell r="G6">
            <v>21.384504765718699</v>
          </cell>
        </row>
        <row r="7">
          <cell r="D7">
            <v>267.61888888888888</v>
          </cell>
          <cell r="G7">
            <v>42.769009531437398</v>
          </cell>
        </row>
        <row r="8">
          <cell r="D8">
            <v>1343.9216666666666</v>
          </cell>
          <cell r="G8">
            <v>213.845047657187</v>
          </cell>
        </row>
        <row r="9">
          <cell r="D9">
            <v>5624.5516666666663</v>
          </cell>
          <cell r="G9">
            <v>921.74647887323954</v>
          </cell>
        </row>
        <row r="38">
          <cell r="B38">
            <v>0.1441714628506657</v>
          </cell>
        </row>
        <row r="39">
          <cell r="B39">
            <v>0.52694379154793525</v>
          </cell>
        </row>
        <row r="40">
          <cell r="B40">
            <v>2.2192609148432805</v>
          </cell>
        </row>
        <row r="41">
          <cell r="B41">
            <v>4.3002759088928997</v>
          </cell>
        </row>
        <row r="42">
          <cell r="B42">
            <v>21.183118079488228</v>
          </cell>
        </row>
        <row r="43">
          <cell r="B43">
            <v>42.563623553202696</v>
          </cell>
        </row>
        <row r="44">
          <cell r="B44">
            <v>213.90420976854736</v>
          </cell>
        </row>
        <row r="72">
          <cell r="B72">
            <v>-0.86244335302746633</v>
          </cell>
        </row>
        <row r="73">
          <cell r="B73">
            <v>-0.46848823374427229</v>
          </cell>
        </row>
        <row r="74">
          <cell r="B74">
            <v>1.273270363178999</v>
          </cell>
        </row>
        <row r="75">
          <cell r="B75">
            <v>3.4150827376553288</v>
          </cell>
        </row>
        <row r="76">
          <cell r="B76">
            <v>20.791161420752843</v>
          </cell>
        </row>
        <row r="77">
          <cell r="B77">
            <v>42.796303780178178</v>
          </cell>
        </row>
        <row r="78">
          <cell r="B78">
            <v>219.142648643325</v>
          </cell>
        </row>
        <row r="79">
          <cell r="B79">
            <v>920.50054699429393</v>
          </cell>
        </row>
      </sheetData>
      <sheetData sheetId="8">
        <row r="6">
          <cell r="F6">
            <v>921.74647887323954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C10" sqref="C10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7">
        <v>42419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109</v>
      </c>
    </row>
    <row r="5" spans="1:5" x14ac:dyDescent="0.25">
      <c r="A5" t="s">
        <v>22</v>
      </c>
      <c r="B5" t="s">
        <v>23</v>
      </c>
    </row>
    <row r="6" spans="1:5" x14ac:dyDescent="0.25">
      <c r="A6" t="s">
        <v>6</v>
      </c>
      <c r="B6">
        <v>631.52245819489701</v>
      </c>
      <c r="C6">
        <v>0.53167165791808602</v>
      </c>
      <c r="D6" t="s">
        <v>20</v>
      </c>
      <c r="E6" t="s">
        <v>13</v>
      </c>
    </row>
    <row r="7" spans="1:5" x14ac:dyDescent="0.25">
      <c r="A7" t="s">
        <v>25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J21" sqref="J21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6">
        <v>42459.724305555559</v>
      </c>
      <c r="B2" t="s">
        <v>91</v>
      </c>
      <c r="C2">
        <v>75.400000000000006</v>
      </c>
      <c r="D2">
        <v>7.28</v>
      </c>
      <c r="E2">
        <v>0.11</v>
      </c>
      <c r="F2">
        <v>181.09</v>
      </c>
    </row>
    <row r="3" spans="1:6" x14ac:dyDescent="0.25">
      <c r="A3" s="16">
        <v>42459.724305555559</v>
      </c>
      <c r="B3" t="s">
        <v>92</v>
      </c>
      <c r="C3">
        <v>91.1</v>
      </c>
      <c r="D3">
        <v>6.63</v>
      </c>
      <c r="E3">
        <v>25.26</v>
      </c>
      <c r="F3">
        <v>191.98</v>
      </c>
    </row>
    <row r="4" spans="1:6" x14ac:dyDescent="0.25">
      <c r="A4" s="16">
        <v>42459.724305555559</v>
      </c>
      <c r="B4" t="s">
        <v>93</v>
      </c>
      <c r="C4">
        <v>64.599999999999994</v>
      </c>
      <c r="D4">
        <v>7.87</v>
      </c>
      <c r="E4">
        <v>0.14000000000000001</v>
      </c>
      <c r="F4">
        <v>202.6</v>
      </c>
    </row>
    <row r="5" spans="1:6" x14ac:dyDescent="0.25">
      <c r="A5" s="16">
        <v>42459.724305555559</v>
      </c>
      <c r="B5" t="s">
        <v>94</v>
      </c>
      <c r="C5">
        <v>104.4</v>
      </c>
      <c r="D5">
        <v>6.19</v>
      </c>
      <c r="E5">
        <v>0.1</v>
      </c>
      <c r="F5">
        <v>213.24</v>
      </c>
    </row>
    <row r="6" spans="1:6" x14ac:dyDescent="0.25">
      <c r="A6" s="16">
        <v>42459.724305555559</v>
      </c>
      <c r="B6" t="s">
        <v>95</v>
      </c>
      <c r="C6">
        <v>103.9</v>
      </c>
      <c r="D6">
        <v>6.2</v>
      </c>
      <c r="E6">
        <v>0.09</v>
      </c>
      <c r="F6">
        <v>223.87</v>
      </c>
    </row>
    <row r="7" spans="1:6" x14ac:dyDescent="0.25">
      <c r="A7" s="16">
        <v>42459.724305555559</v>
      </c>
      <c r="B7" t="s">
        <v>96</v>
      </c>
      <c r="C7">
        <v>109.7</v>
      </c>
      <c r="D7">
        <v>6.04</v>
      </c>
      <c r="E7">
        <v>7.0000000000000007E-2</v>
      </c>
      <c r="F7">
        <v>234.51</v>
      </c>
    </row>
    <row r="8" spans="1:6" x14ac:dyDescent="0.25">
      <c r="A8" s="16">
        <v>42459.724305555559</v>
      </c>
      <c r="B8" t="s">
        <v>97</v>
      </c>
      <c r="C8">
        <v>265.8</v>
      </c>
      <c r="D8">
        <v>3.88</v>
      </c>
      <c r="E8">
        <v>0.04</v>
      </c>
      <c r="F8">
        <v>245.14</v>
      </c>
    </row>
    <row r="9" spans="1:6" x14ac:dyDescent="0.25">
      <c r="A9" s="16">
        <v>42459.724305555559</v>
      </c>
      <c r="B9" t="s">
        <v>98</v>
      </c>
      <c r="C9">
        <v>230.2</v>
      </c>
      <c r="D9">
        <v>4.17</v>
      </c>
      <c r="E9">
        <v>0.04</v>
      </c>
      <c r="F9">
        <v>255.77</v>
      </c>
    </row>
    <row r="10" spans="1:6" x14ac:dyDescent="0.25">
      <c r="A10" s="16">
        <v>42459.724305555559</v>
      </c>
      <c r="B10" t="s">
        <v>99</v>
      </c>
      <c r="C10">
        <v>273.5</v>
      </c>
      <c r="D10">
        <v>3.82</v>
      </c>
      <c r="E10">
        <v>0.02</v>
      </c>
      <c r="F10">
        <v>266.5</v>
      </c>
    </row>
    <row r="11" spans="1:6" x14ac:dyDescent="0.25">
      <c r="A11" s="16">
        <v>42459.724305555559</v>
      </c>
      <c r="B11" t="s">
        <v>100</v>
      </c>
      <c r="C11">
        <v>492.7</v>
      </c>
      <c r="D11">
        <v>2.85</v>
      </c>
      <c r="E11">
        <v>0.02</v>
      </c>
      <c r="F11">
        <v>277.13</v>
      </c>
    </row>
    <row r="12" spans="1:6" x14ac:dyDescent="0.25">
      <c r="A12" s="16">
        <v>42459.724305555559</v>
      </c>
      <c r="B12" t="s">
        <v>101</v>
      </c>
      <c r="C12">
        <v>507.9</v>
      </c>
      <c r="D12">
        <v>2.81</v>
      </c>
      <c r="E12">
        <v>0.01</v>
      </c>
      <c r="F12">
        <v>287.76</v>
      </c>
    </row>
    <row r="13" spans="1:6" x14ac:dyDescent="0.25">
      <c r="A13" s="16">
        <v>42459.724305555559</v>
      </c>
      <c r="B13" t="s">
        <v>102</v>
      </c>
      <c r="C13">
        <v>469.8</v>
      </c>
      <c r="D13">
        <v>2.92</v>
      </c>
      <c r="E13">
        <v>0.01</v>
      </c>
      <c r="F13">
        <v>298.39</v>
      </c>
    </row>
    <row r="14" spans="1:6" x14ac:dyDescent="0.25">
      <c r="A14" s="16">
        <v>42459.724305555559</v>
      </c>
      <c r="B14" t="s">
        <v>103</v>
      </c>
      <c r="C14">
        <v>1112.8</v>
      </c>
      <c r="D14">
        <v>1.9</v>
      </c>
      <c r="E14">
        <v>0.01</v>
      </c>
      <c r="F14">
        <v>309.02</v>
      </c>
    </row>
    <row r="15" spans="1:6" x14ac:dyDescent="0.25">
      <c r="A15" s="16">
        <v>42459.724305555559</v>
      </c>
      <c r="B15" t="s">
        <v>104</v>
      </c>
      <c r="C15">
        <v>1090.9000000000001</v>
      </c>
      <c r="D15">
        <v>1.91</v>
      </c>
      <c r="E15">
        <v>0.01</v>
      </c>
      <c r="F15">
        <v>319.66000000000003</v>
      </c>
    </row>
    <row r="16" spans="1:6" x14ac:dyDescent="0.25">
      <c r="A16" s="16">
        <v>42459.724305555559</v>
      </c>
      <c r="B16" t="s">
        <v>105</v>
      </c>
      <c r="C16">
        <v>1203.8</v>
      </c>
      <c r="D16">
        <v>1.82</v>
      </c>
      <c r="E16">
        <v>0.01</v>
      </c>
      <c r="F16">
        <v>330.29</v>
      </c>
    </row>
    <row r="17" spans="1:6" x14ac:dyDescent="0.25">
      <c r="A17" s="16">
        <v>42459.724305555559</v>
      </c>
      <c r="B17" t="s">
        <v>106</v>
      </c>
      <c r="C17">
        <v>2420.1</v>
      </c>
      <c r="D17">
        <v>1.29</v>
      </c>
      <c r="E17">
        <v>0</v>
      </c>
      <c r="F17">
        <v>340.93</v>
      </c>
    </row>
    <row r="18" spans="1:6" x14ac:dyDescent="0.25">
      <c r="A18" s="16">
        <v>42459.724305555559</v>
      </c>
      <c r="B18" t="s">
        <v>107</v>
      </c>
      <c r="C18">
        <v>2166.8000000000002</v>
      </c>
      <c r="D18">
        <v>1.36</v>
      </c>
      <c r="E18">
        <v>0</v>
      </c>
      <c r="F18">
        <v>351.55</v>
      </c>
    </row>
    <row r="19" spans="1:6" x14ac:dyDescent="0.25">
      <c r="A19" s="16">
        <v>42459.724305555559</v>
      </c>
      <c r="B19" t="s">
        <v>108</v>
      </c>
      <c r="C19">
        <v>2342.6</v>
      </c>
      <c r="D19">
        <v>1.31</v>
      </c>
      <c r="E19">
        <v>0</v>
      </c>
      <c r="F19">
        <v>362.2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1"/>
  <sheetViews>
    <sheetView zoomScale="85" zoomScaleNormal="85" workbookViewId="0">
      <selection activeCell="C13" sqref="C13"/>
    </sheetView>
  </sheetViews>
  <sheetFormatPr defaultRowHeight="15" x14ac:dyDescent="0.25"/>
  <cols>
    <col min="1" max="1" width="30" style="2" bestFit="1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59" style="2" bestFit="1" customWidth="1"/>
    <col min="7" max="7" width="20.7109375" style="2" bestFit="1" customWidth="1"/>
    <col min="8" max="8" width="34.140625" style="2" bestFit="1" customWidth="1"/>
    <col min="9" max="9" width="34.140625" style="2" customWidth="1"/>
    <col min="10" max="10" width="37.140625" style="2" bestFit="1" customWidth="1"/>
    <col min="11" max="11" width="18.7109375" style="2" customWidth="1"/>
    <col min="12" max="12" width="32.85546875" bestFit="1" customWidth="1"/>
    <col min="13" max="13" width="34.7109375" bestFit="1" customWidth="1"/>
    <col min="14" max="14" width="35.5703125" bestFit="1" customWidth="1"/>
    <col min="15" max="15" width="14.5703125" bestFit="1" customWidth="1"/>
    <col min="23" max="23" width="18" bestFit="1" customWidth="1"/>
    <col min="24" max="24" width="12.7109375" bestFit="1" customWidth="1"/>
    <col min="25" max="25" width="12.7109375" style="19" customWidth="1"/>
    <col min="26" max="16384" width="9.140625" style="19"/>
  </cols>
  <sheetData>
    <row r="1" spans="1:24" x14ac:dyDescent="0.25">
      <c r="B1" s="3" t="s">
        <v>42</v>
      </c>
      <c r="C1" s="3" t="s">
        <v>43</v>
      </c>
      <c r="D1" s="4" t="s">
        <v>44</v>
      </c>
      <c r="E1" s="4" t="s">
        <v>21</v>
      </c>
      <c r="F1" s="2" t="s">
        <v>117</v>
      </c>
      <c r="G1" s="2" t="s">
        <v>118</v>
      </c>
      <c r="H1" s="2" t="s">
        <v>119</v>
      </c>
      <c r="I1" s="18" t="s">
        <v>120</v>
      </c>
      <c r="J1" s="18" t="s">
        <v>121</v>
      </c>
      <c r="K1" s="2" t="s">
        <v>120</v>
      </c>
      <c r="L1" s="2"/>
      <c r="M1" s="2"/>
      <c r="N1" s="2"/>
      <c r="O1" s="2"/>
    </row>
    <row r="2" spans="1:24" x14ac:dyDescent="0.25">
      <c r="A2" s="3" t="s">
        <v>45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G2" s="13">
        <f>0</f>
        <v>0</v>
      </c>
      <c r="H2" s="2">
        <f>D2*$B$65+$B$64</f>
        <v>-0.86244335302746633</v>
      </c>
      <c r="I2" s="2" t="e">
        <f t="shared" ref="I2:I9" si="0">ABS(H2-G2)/G2</f>
        <v>#DIV/0!</v>
      </c>
      <c r="J2" s="2">
        <f>D2*$B$31+$B$30</f>
        <v>0.1441714628506657</v>
      </c>
      <c r="K2" s="2" t="e">
        <f t="shared" ref="K2:K9" si="1">ABS(J2-G2)/G2</f>
        <v>#DIV/0!</v>
      </c>
    </row>
    <row r="3" spans="1:24" x14ac:dyDescent="0.25">
      <c r="A3" s="3" t="s">
        <v>36</v>
      </c>
      <c r="B3" s="2">
        <v>213.53333333333333</v>
      </c>
      <c r="C3" s="2">
        <v>4.5389670875898238</v>
      </c>
      <c r="D3" s="2">
        <f t="shared" ref="D3:E10" si="2">B3/60</f>
        <v>3.5588888888888888</v>
      </c>
      <c r="E3" s="2">
        <f t="shared" si="2"/>
        <v>7.5649451459830402E-2</v>
      </c>
      <c r="G3" s="13">
        <f>F7*0.01</f>
        <v>0.42769009531437396</v>
      </c>
      <c r="H3" s="2">
        <f t="shared" ref="H3:H9" si="3">D3*$B$65+$B$64</f>
        <v>-0.46848823374427229</v>
      </c>
      <c r="I3" s="2">
        <f t="shared" si="0"/>
        <v>2.0953918243065921</v>
      </c>
      <c r="J3" s="2">
        <f t="shared" ref="J3:J9" si="4">D3*$B$31+$B$30</f>
        <v>0.52694379154793525</v>
      </c>
      <c r="K3" s="2">
        <f t="shared" si="1"/>
        <v>0.23206919524429195</v>
      </c>
    </row>
    <row r="4" spans="1:24" x14ac:dyDescent="0.25">
      <c r="A4" s="3" t="s">
        <v>37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G4" s="13">
        <f>F7*0.05</f>
        <v>2.1384504765718702</v>
      </c>
      <c r="H4" s="2">
        <f t="shared" si="3"/>
        <v>1.273270363178999</v>
      </c>
      <c r="I4" s="2">
        <f t="shared" si="0"/>
        <v>0.40458272140107415</v>
      </c>
      <c r="J4" s="2">
        <f t="shared" si="4"/>
        <v>2.2192609148432805</v>
      </c>
      <c r="K4" s="2">
        <f t="shared" si="1"/>
        <v>3.7789249345141149E-2</v>
      </c>
    </row>
    <row r="5" spans="1:24" x14ac:dyDescent="0.25">
      <c r="A5" s="3" t="s">
        <v>38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G5" s="13">
        <f>F7*0.1</f>
        <v>4.2769009531437403</v>
      </c>
      <c r="H5" s="2">
        <f t="shared" si="3"/>
        <v>3.4150827376553288</v>
      </c>
      <c r="I5" s="2">
        <f t="shared" si="0"/>
        <v>0.20150530136895764</v>
      </c>
      <c r="J5" s="2">
        <f t="shared" si="4"/>
        <v>4.3002759088928997</v>
      </c>
      <c r="K5" s="2">
        <f t="shared" si="1"/>
        <v>5.465395622963303E-3</v>
      </c>
    </row>
    <row r="6" spans="1:24" x14ac:dyDescent="0.25">
      <c r="A6" s="3" t="s">
        <v>39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G6" s="13">
        <f>F7*0.5</f>
        <v>21.384504765718699</v>
      </c>
      <c r="H6" s="2">
        <f t="shared" si="3"/>
        <v>20.791161420752843</v>
      </c>
      <c r="I6" s="2">
        <f t="shared" si="0"/>
        <v>2.7746415054560394E-2</v>
      </c>
      <c r="J6" s="2">
        <f t="shared" si="4"/>
        <v>21.183118079488228</v>
      </c>
      <c r="K6" s="2">
        <f t="shared" si="1"/>
        <v>9.4174117397991877E-3</v>
      </c>
    </row>
    <row r="7" spans="1:24" x14ac:dyDescent="0.25">
      <c r="A7" s="3" t="s">
        <v>40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>
        <f>'[1]Gamma Counter Geometry'!G6</f>
        <v>42.769009531437398</v>
      </c>
      <c r="G7" s="13">
        <f>F7</f>
        <v>42.769009531437398</v>
      </c>
      <c r="H7" s="2">
        <f t="shared" si="3"/>
        <v>42.796303780178178</v>
      </c>
      <c r="I7" s="2">
        <f t="shared" si="0"/>
        <v>6.3817818181451417E-4</v>
      </c>
      <c r="J7" s="2">
        <f t="shared" si="4"/>
        <v>42.563623553202696</v>
      </c>
      <c r="K7" s="2">
        <f t="shared" si="1"/>
        <v>4.8022149796041616E-3</v>
      </c>
    </row>
    <row r="8" spans="1:24" x14ac:dyDescent="0.25">
      <c r="A8" s="3" t="s">
        <v>41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G8" s="13">
        <f>F7*5</f>
        <v>213.845047657187</v>
      </c>
      <c r="H8" s="2">
        <f t="shared" si="3"/>
        <v>219.142648643325</v>
      </c>
      <c r="I8" s="2">
        <f t="shared" si="0"/>
        <v>2.4773082398571806E-2</v>
      </c>
      <c r="J8" s="2">
        <f t="shared" si="4"/>
        <v>213.90420976854736</v>
      </c>
      <c r="K8" s="2">
        <f t="shared" si="1"/>
        <v>2.766587863900749E-4</v>
      </c>
    </row>
    <row r="9" spans="1:24" x14ac:dyDescent="0.25">
      <c r="A9" s="4" t="s">
        <v>122</v>
      </c>
      <c r="B9" s="2">
        <v>337473.1</v>
      </c>
      <c r="C9" s="2">
        <f>0.11/100*B9</f>
        <v>371.22041000000002</v>
      </c>
      <c r="D9" s="2">
        <f t="shared" si="2"/>
        <v>5624.5516666666663</v>
      </c>
      <c r="E9" s="2">
        <f t="shared" si="2"/>
        <v>6.1870068333333332</v>
      </c>
      <c r="F9">
        <f>'[1]Stock Log'!F6</f>
        <v>921.74647887323954</v>
      </c>
      <c r="G9" s="6">
        <f>F9</f>
        <v>921.74647887323954</v>
      </c>
      <c r="H9" s="2">
        <f t="shared" si="3"/>
        <v>920.50054699429393</v>
      </c>
      <c r="I9" s="2">
        <f t="shared" si="0"/>
        <v>1.3517077716083742E-3</v>
      </c>
      <c r="J9" s="2">
        <f t="shared" si="4"/>
        <v>895.35339740822087</v>
      </c>
      <c r="K9" s="2">
        <f t="shared" si="1"/>
        <v>2.8633775197364545E-2</v>
      </c>
    </row>
    <row r="10" spans="1:24" x14ac:dyDescent="0.25">
      <c r="A10" s="4" t="s">
        <v>123</v>
      </c>
      <c r="B10" s="18">
        <v>173514.3</v>
      </c>
      <c r="C10" s="2">
        <f>0.15/100*B10</f>
        <v>260.27145000000002</v>
      </c>
      <c r="D10" s="2">
        <f t="shared" si="2"/>
        <v>2891.9049999999997</v>
      </c>
      <c r="E10" s="2">
        <f t="shared" si="2"/>
        <v>4.3378575000000001</v>
      </c>
      <c r="F10"/>
      <c r="G10"/>
      <c r="H10" s="5"/>
      <c r="I10" s="5"/>
      <c r="J10" s="5"/>
      <c r="K10" s="5"/>
    </row>
    <row r="11" spans="1:24" x14ac:dyDescent="0.25">
      <c r="D11"/>
      <c r="F11"/>
      <c r="G11"/>
      <c r="H11" s="5" t="s">
        <v>124</v>
      </c>
      <c r="I11" s="5">
        <f>AVERAGE(I3:I9)</f>
        <v>0.39371274721188276</v>
      </c>
      <c r="J11" s="5"/>
      <c r="K11" s="5">
        <f>AVERAGE(K3:K8)</f>
        <v>4.8303354286364959E-2</v>
      </c>
    </row>
    <row r="12" spans="1:24" x14ac:dyDescent="0.25">
      <c r="A12" s="20" t="s">
        <v>125</v>
      </c>
      <c r="B12" s="21"/>
      <c r="C12" s="21"/>
      <c r="D12" s="21"/>
      <c r="E12" s="21"/>
      <c r="F12" s="21"/>
      <c r="G12" s="21"/>
      <c r="H12" s="21"/>
      <c r="I12" s="21"/>
      <c r="J12" s="22"/>
      <c r="K12" s="21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19"/>
      <c r="W12" s="19"/>
      <c r="X12" s="19"/>
    </row>
    <row r="13" spans="1:24" x14ac:dyDescent="0.25">
      <c r="A13" s="19" t="s">
        <v>126</v>
      </c>
      <c r="B13" s="19"/>
      <c r="C13" s="19"/>
      <c r="D13" s="19"/>
      <c r="E13" s="19"/>
      <c r="F13" s="19"/>
      <c r="G13" s="19"/>
      <c r="H13" s="19"/>
      <c r="I13" s="19"/>
      <c r="J13" s="19"/>
      <c r="K13" s="24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24" x14ac:dyDescent="0.25">
      <c r="A14" t="s">
        <v>47</v>
      </c>
      <c r="B14"/>
      <c r="C14"/>
      <c r="D14"/>
      <c r="E14"/>
      <c r="F14"/>
      <c r="G14"/>
      <c r="H14"/>
      <c r="I14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24" ht="15.75" thickBot="1" x14ac:dyDescent="0.3">
      <c r="A15"/>
      <c r="B15"/>
      <c r="C15"/>
      <c r="D15"/>
      <c r="E15"/>
      <c r="F15"/>
      <c r="G15"/>
      <c r="H15"/>
      <c r="I15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 spans="1:24" x14ac:dyDescent="0.25">
      <c r="A16" s="7" t="s">
        <v>48</v>
      </c>
      <c r="B16" s="7"/>
      <c r="C16"/>
      <c r="D16"/>
      <c r="E16"/>
      <c r="F16"/>
      <c r="G16"/>
      <c r="H16"/>
      <c r="I16"/>
      <c r="J16" s="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 spans="1:24" x14ac:dyDescent="0.25">
      <c r="A17" s="8" t="s">
        <v>49</v>
      </c>
      <c r="B17" s="8">
        <v>0.99999829960800457</v>
      </c>
      <c r="C17"/>
      <c r="D17"/>
      <c r="E17"/>
      <c r="F17"/>
      <c r="G17"/>
      <c r="H17"/>
      <c r="I17"/>
      <c r="J17" s="8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 spans="1:24" x14ac:dyDescent="0.25">
      <c r="A18" s="8" t="s">
        <v>50</v>
      </c>
      <c r="B18" s="8">
        <v>0.99999659921890038</v>
      </c>
      <c r="C18"/>
      <c r="D18"/>
      <c r="E18"/>
      <c r="F18"/>
      <c r="G18"/>
      <c r="H18"/>
      <c r="I18"/>
      <c r="J18" s="8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 spans="1:24" x14ac:dyDescent="0.25">
      <c r="A19" s="8" t="s">
        <v>51</v>
      </c>
      <c r="B19" s="8">
        <v>0.99999591906268037</v>
      </c>
      <c r="C19"/>
      <c r="D19"/>
      <c r="E19"/>
      <c r="F19"/>
      <c r="G19"/>
      <c r="H19"/>
      <c r="I19"/>
      <c r="J19" s="8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 spans="1:24" ht="15.75" customHeight="1" x14ac:dyDescent="0.25">
      <c r="A20" s="8" t="s">
        <v>52</v>
      </c>
      <c r="B20" s="8">
        <v>0.15745067498955981</v>
      </c>
      <c r="C20"/>
      <c r="D20"/>
      <c r="E20"/>
      <c r="F20"/>
      <c r="G20"/>
      <c r="H20"/>
      <c r="I20"/>
      <c r="J20" s="8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spans="1:24" ht="15.75" thickBot="1" x14ac:dyDescent="0.3">
      <c r="A21" s="10" t="s">
        <v>53</v>
      </c>
      <c r="B21" s="10">
        <v>7</v>
      </c>
      <c r="C21"/>
      <c r="D21"/>
      <c r="E21"/>
      <c r="F21"/>
      <c r="G21"/>
      <c r="H21"/>
      <c r="I21"/>
      <c r="J21" s="8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</row>
    <row r="22" spans="1:24" ht="15.75" customHeight="1" x14ac:dyDescent="0.25">
      <c r="A22"/>
      <c r="B22"/>
      <c r="C22"/>
      <c r="D22"/>
      <c r="E22"/>
      <c r="F22"/>
      <c r="G22"/>
      <c r="H22"/>
      <c r="I22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 spans="1:24" ht="15.75" thickBot="1" x14ac:dyDescent="0.3">
      <c r="A23" t="s">
        <v>54</v>
      </c>
      <c r="B23"/>
      <c r="C23"/>
      <c r="D23"/>
      <c r="E23"/>
      <c r="F23"/>
      <c r="G23"/>
      <c r="H23"/>
      <c r="I23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 spans="1:24" x14ac:dyDescent="0.25">
      <c r="A24" s="11"/>
      <c r="B24" s="11" t="s">
        <v>55</v>
      </c>
      <c r="C24" s="11" t="s">
        <v>56</v>
      </c>
      <c r="D24" s="11" t="s">
        <v>57</v>
      </c>
      <c r="E24" s="11" t="s">
        <v>58</v>
      </c>
      <c r="F24" s="11" t="s">
        <v>59</v>
      </c>
      <c r="G24"/>
      <c r="H24"/>
      <c r="I24"/>
      <c r="J24" s="12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</row>
    <row r="25" spans="1:24" x14ac:dyDescent="0.25">
      <c r="A25" s="8" t="s">
        <v>60</v>
      </c>
      <c r="B25" s="8">
        <v>1</v>
      </c>
      <c r="C25" s="8">
        <v>36448.436434940144</v>
      </c>
      <c r="D25" s="8">
        <v>36448.436434940144</v>
      </c>
      <c r="E25" s="8">
        <v>1470245.4670857524</v>
      </c>
      <c r="F25" s="8">
        <v>7.2414589665754382E-15</v>
      </c>
      <c r="G25"/>
      <c r="H25"/>
      <c r="I25"/>
      <c r="J25" s="8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 spans="1:24" ht="15.75" customHeight="1" x14ac:dyDescent="0.25">
      <c r="A26" s="8" t="s">
        <v>61</v>
      </c>
      <c r="B26" s="8">
        <v>5</v>
      </c>
      <c r="C26" s="8">
        <v>0.12395357527333999</v>
      </c>
      <c r="D26" s="8">
        <v>2.4790715054667997E-2</v>
      </c>
      <c r="E26" s="8"/>
      <c r="F26" s="8"/>
      <c r="G26"/>
      <c r="H26"/>
      <c r="I26"/>
      <c r="J26" s="8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 spans="1:24" ht="15.75" thickBot="1" x14ac:dyDescent="0.3">
      <c r="A27" s="10" t="s">
        <v>62</v>
      </c>
      <c r="B27" s="10">
        <v>6</v>
      </c>
      <c r="C27" s="10">
        <v>36448.56038851542</v>
      </c>
      <c r="D27" s="10"/>
      <c r="E27" s="10"/>
      <c r="F27" s="10"/>
      <c r="G27"/>
      <c r="H27"/>
      <c r="I27"/>
      <c r="J27" s="8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 spans="1:24" ht="15.75" thickBot="1" x14ac:dyDescent="0.3">
      <c r="A28"/>
      <c r="B28"/>
      <c r="C28"/>
      <c r="D28"/>
      <c r="E28"/>
      <c r="F28"/>
      <c r="G28"/>
      <c r="H28"/>
      <c r="I28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 spans="1:24" x14ac:dyDescent="0.25">
      <c r="A29" s="11"/>
      <c r="B29" s="11" t="s">
        <v>63</v>
      </c>
      <c r="C29" s="11" t="s">
        <v>52</v>
      </c>
      <c r="D29" s="11" t="s">
        <v>64</v>
      </c>
      <c r="E29" s="11" t="s">
        <v>65</v>
      </c>
      <c r="F29" s="11" t="s">
        <v>66</v>
      </c>
      <c r="G29" s="11" t="s">
        <v>67</v>
      </c>
      <c r="H29" s="11" t="s">
        <v>68</v>
      </c>
      <c r="I29" s="11" t="s">
        <v>69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 spans="1:24" ht="15.75" customHeight="1" x14ac:dyDescent="0.25">
      <c r="A30" s="8" t="s">
        <v>70</v>
      </c>
      <c r="B30" s="8">
        <v>-3.9608781842709107E-2</v>
      </c>
      <c r="C30" s="8">
        <v>6.8336946505889784E-2</v>
      </c>
      <c r="D30" s="8">
        <v>-0.57961006260786507</v>
      </c>
      <c r="E30" s="8">
        <v>0.5873118215120845</v>
      </c>
      <c r="F30" s="8">
        <v>-0.21527449523359993</v>
      </c>
      <c r="G30" s="8">
        <v>0.13605693154818171</v>
      </c>
      <c r="H30" s="8">
        <v>-0.21527449523359993</v>
      </c>
      <c r="I30" s="8">
        <v>0.13605693154818171</v>
      </c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 spans="1:24" ht="15.75" thickBot="1" x14ac:dyDescent="0.3">
      <c r="A31" s="10" t="s">
        <v>71</v>
      </c>
      <c r="B31" s="10">
        <v>0.15919366720311581</v>
      </c>
      <c r="C31" s="10">
        <v>1.3128976251852687E-4</v>
      </c>
      <c r="D31" s="10">
        <v>1212.5367899926798</v>
      </c>
      <c r="E31" s="10">
        <v>7.2414589665754382E-15</v>
      </c>
      <c r="F31" s="10">
        <v>0.15885617612438069</v>
      </c>
      <c r="G31" s="10">
        <v>0.15953115828185094</v>
      </c>
      <c r="H31" s="10">
        <v>0.15885617612438069</v>
      </c>
      <c r="I31" s="10">
        <v>0.15953115828185094</v>
      </c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</row>
    <row r="32" spans="1:24" x14ac:dyDescent="0.25">
      <c r="A32"/>
      <c r="B32"/>
      <c r="C32"/>
      <c r="D32"/>
      <c r="E32"/>
      <c r="F32"/>
      <c r="G32"/>
      <c r="H32"/>
      <c r="I32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 spans="1:24" x14ac:dyDescent="0.25">
      <c r="A33"/>
      <c r="B33"/>
      <c r="C33"/>
      <c r="D33"/>
      <c r="E33"/>
      <c r="F33"/>
      <c r="G33"/>
      <c r="H33"/>
      <c r="I33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 spans="1:24" x14ac:dyDescent="0.25">
      <c r="A34"/>
      <c r="B34"/>
      <c r="C34"/>
      <c r="D34"/>
      <c r="E34"/>
      <c r="F34"/>
      <c r="G34"/>
      <c r="H34"/>
      <c r="I34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 spans="1:24" x14ac:dyDescent="0.25">
      <c r="A35" t="s">
        <v>72</v>
      </c>
      <c r="B35"/>
      <c r="C35"/>
      <c r="D35"/>
      <c r="E35"/>
      <c r="F35"/>
      <c r="G35"/>
      <c r="H35"/>
      <c r="I35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</row>
    <row r="36" spans="1:24" ht="15.75" thickBot="1" x14ac:dyDescent="0.3">
      <c r="A36"/>
      <c r="B36"/>
      <c r="C36"/>
      <c r="D36"/>
      <c r="E36"/>
      <c r="F36"/>
      <c r="G36"/>
      <c r="H36"/>
      <c r="I36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</row>
    <row r="37" spans="1:24" x14ac:dyDescent="0.25">
      <c r="A37" s="11" t="s">
        <v>73</v>
      </c>
      <c r="B37" s="11" t="s">
        <v>74</v>
      </c>
      <c r="C37" s="11" t="s">
        <v>75</v>
      </c>
      <c r="D37"/>
      <c r="E37"/>
      <c r="F37"/>
      <c r="G37"/>
      <c r="H37"/>
      <c r="I37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</row>
    <row r="38" spans="1:24" x14ac:dyDescent="0.25">
      <c r="A38" s="8">
        <v>1</v>
      </c>
      <c r="B38" s="8">
        <v>0.1441714628506657</v>
      </c>
      <c r="C38" s="8">
        <v>-0.1441714628506657</v>
      </c>
      <c r="D38"/>
      <c r="E38"/>
      <c r="F38"/>
      <c r="G38"/>
      <c r="H38"/>
      <c r="I38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</row>
    <row r="39" spans="1:24" x14ac:dyDescent="0.25">
      <c r="A39" s="8">
        <v>2</v>
      </c>
      <c r="B39" s="8">
        <v>0.52694379154793525</v>
      </c>
      <c r="C39" s="8">
        <v>-9.9253696233561284E-2</v>
      </c>
      <c r="D39"/>
      <c r="E39"/>
      <c r="F39"/>
      <c r="G39"/>
      <c r="H39"/>
      <c r="I3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</row>
    <row r="40" spans="1:24" x14ac:dyDescent="0.25">
      <c r="A40" s="8">
        <v>3</v>
      </c>
      <c r="B40" s="8">
        <v>2.2192609148432805</v>
      </c>
      <c r="C40" s="8">
        <v>-8.0810438271410323E-2</v>
      </c>
      <c r="D40"/>
      <c r="E40"/>
      <c r="F40"/>
      <c r="G40"/>
      <c r="H40"/>
      <c r="I40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</row>
    <row r="41" spans="1:24" x14ac:dyDescent="0.25">
      <c r="A41" s="8">
        <v>4</v>
      </c>
      <c r="B41" s="8">
        <v>4.3002759088928997</v>
      </c>
      <c r="C41" s="8">
        <v>-2.3374955749159376E-2</v>
      </c>
      <c r="D41"/>
      <c r="E41"/>
      <c r="F41"/>
      <c r="G41"/>
      <c r="H41"/>
      <c r="I41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</row>
    <row r="42" spans="1:24" ht="15.75" customHeight="1" x14ac:dyDescent="0.25">
      <c r="A42" s="8">
        <v>5</v>
      </c>
      <c r="B42" s="8">
        <v>21.183118079488228</v>
      </c>
      <c r="C42" s="8">
        <v>0.20138668623047096</v>
      </c>
      <c r="D42"/>
      <c r="E42"/>
      <c r="F42"/>
      <c r="G42"/>
      <c r="H42"/>
      <c r="I42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</row>
    <row r="43" spans="1:24" ht="15.75" customHeight="1" x14ac:dyDescent="0.25">
      <c r="A43" s="8">
        <v>6</v>
      </c>
      <c r="B43" s="8">
        <v>42.563623553202696</v>
      </c>
      <c r="C43" s="8">
        <v>0.20538597823470184</v>
      </c>
      <c r="D43"/>
      <c r="E43"/>
      <c r="F43"/>
      <c r="G43"/>
      <c r="H43"/>
      <c r="I43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 spans="1:24" ht="15.75" thickBot="1" x14ac:dyDescent="0.3">
      <c r="A44" s="10">
        <v>7</v>
      </c>
      <c r="B44" s="10">
        <v>213.90420976854736</v>
      </c>
      <c r="C44" s="10">
        <v>-5.9162111360365088E-2</v>
      </c>
      <c r="D44"/>
      <c r="E44"/>
      <c r="F44"/>
      <c r="G44"/>
      <c r="H44"/>
      <c r="I44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 spans="1:24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</row>
    <row r="46" spans="1:24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</row>
    <row r="47" spans="1:24" x14ac:dyDescent="0.25">
      <c r="A47" s="19" t="s">
        <v>127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</row>
    <row r="48" spans="1:24" x14ac:dyDescent="0.25">
      <c r="A48" t="s">
        <v>47</v>
      </c>
      <c r="B48"/>
      <c r="C48"/>
      <c r="D48"/>
      <c r="E48"/>
      <c r="F48"/>
      <c r="G48"/>
      <c r="H48"/>
      <c r="I48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</row>
    <row r="49" spans="1:24" ht="15.75" thickBot="1" x14ac:dyDescent="0.3">
      <c r="A49"/>
      <c r="B49"/>
      <c r="C49"/>
      <c r="D49"/>
      <c r="E49"/>
      <c r="F49"/>
      <c r="G49"/>
      <c r="H49"/>
      <c r="I4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</row>
    <row r="50" spans="1:24" x14ac:dyDescent="0.25">
      <c r="A50" s="7" t="s">
        <v>48</v>
      </c>
      <c r="B50" s="7"/>
      <c r="C50"/>
      <c r="D50"/>
      <c r="E50"/>
      <c r="F50"/>
      <c r="G50"/>
      <c r="H50"/>
      <c r="I50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</row>
    <row r="51" spans="1:24" x14ac:dyDescent="0.25">
      <c r="A51" s="8" t="s">
        <v>49</v>
      </c>
      <c r="B51" s="8">
        <v>0.99997693899899576</v>
      </c>
      <c r="C51"/>
      <c r="D51"/>
      <c r="E51"/>
      <c r="F51"/>
      <c r="G51"/>
      <c r="H51"/>
      <c r="I51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</row>
    <row r="52" spans="1:24" x14ac:dyDescent="0.25">
      <c r="A52" s="8" t="s">
        <v>50</v>
      </c>
      <c r="B52" s="8">
        <v>0.99995387852980122</v>
      </c>
      <c r="C52"/>
      <c r="D52"/>
      <c r="E52"/>
      <c r="F52"/>
      <c r="G52"/>
      <c r="H52"/>
      <c r="I52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</row>
    <row r="53" spans="1:24" x14ac:dyDescent="0.25">
      <c r="A53" s="8" t="s">
        <v>51</v>
      </c>
      <c r="B53" s="8">
        <v>0.99994619161810139</v>
      </c>
      <c r="C53"/>
      <c r="D53"/>
      <c r="E53"/>
      <c r="F53"/>
      <c r="G53"/>
      <c r="H53"/>
      <c r="I53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</row>
    <row r="54" spans="1:24" x14ac:dyDescent="0.25">
      <c r="A54" s="8" t="s">
        <v>52</v>
      </c>
      <c r="B54" s="8">
        <v>2.3454898264593513</v>
      </c>
      <c r="C54"/>
      <c r="D54"/>
      <c r="E54"/>
      <c r="F54"/>
      <c r="G54"/>
      <c r="H54"/>
      <c r="I54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</row>
    <row r="55" spans="1:24" ht="15.75" thickBot="1" x14ac:dyDescent="0.3">
      <c r="A55" s="10" t="s">
        <v>53</v>
      </c>
      <c r="B55" s="10">
        <v>8</v>
      </c>
      <c r="C55"/>
      <c r="D55"/>
      <c r="E55"/>
      <c r="F55"/>
      <c r="G55"/>
      <c r="H55"/>
      <c r="I55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</row>
    <row r="56" spans="1:24" x14ac:dyDescent="0.25">
      <c r="A56"/>
      <c r="B56"/>
      <c r="C56"/>
      <c r="D56"/>
      <c r="E56"/>
      <c r="F56"/>
      <c r="G56"/>
      <c r="H56"/>
      <c r="I56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</row>
    <row r="57" spans="1:24" ht="15.75" customHeight="1" thickBot="1" x14ac:dyDescent="0.3">
      <c r="A57" t="s">
        <v>54</v>
      </c>
      <c r="B57"/>
      <c r="C57"/>
      <c r="D57"/>
      <c r="E57"/>
      <c r="F57"/>
      <c r="G57"/>
      <c r="H57"/>
      <c r="I57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</row>
    <row r="58" spans="1:24" x14ac:dyDescent="0.25">
      <c r="A58" s="11"/>
      <c r="B58" s="11" t="s">
        <v>55</v>
      </c>
      <c r="C58" s="11" t="s">
        <v>56</v>
      </c>
      <c r="D58" s="11" t="s">
        <v>57</v>
      </c>
      <c r="E58" s="11" t="s">
        <v>58</v>
      </c>
      <c r="F58" s="11" t="s">
        <v>59</v>
      </c>
      <c r="G58"/>
      <c r="H58"/>
      <c r="I58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</row>
    <row r="59" spans="1:24" x14ac:dyDescent="0.25">
      <c r="A59" s="8" t="s">
        <v>60</v>
      </c>
      <c r="B59" s="8">
        <v>1</v>
      </c>
      <c r="C59" s="8">
        <v>715640.95071954106</v>
      </c>
      <c r="D59" s="8">
        <v>715640.95071954106</v>
      </c>
      <c r="E59" s="8">
        <v>130085.25628776736</v>
      </c>
      <c r="F59" s="8">
        <v>3.0659633657492487E-14</v>
      </c>
      <c r="G59"/>
      <c r="H59"/>
      <c r="I5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</row>
    <row r="60" spans="1:24" x14ac:dyDescent="0.25">
      <c r="A60" s="8" t="s">
        <v>61</v>
      </c>
      <c r="B60" s="8">
        <v>6</v>
      </c>
      <c r="C60" s="8">
        <v>33.007935156145905</v>
      </c>
      <c r="D60" s="8">
        <v>5.5013225260243175</v>
      </c>
      <c r="E60" s="8"/>
      <c r="F60" s="8"/>
      <c r="G60"/>
      <c r="H60"/>
      <c r="I60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 spans="1:24" ht="15.75" thickBot="1" x14ac:dyDescent="0.3">
      <c r="A61" s="10" t="s">
        <v>62</v>
      </c>
      <c r="B61" s="10">
        <v>7</v>
      </c>
      <c r="C61" s="10">
        <v>715673.95865469717</v>
      </c>
      <c r="D61" s="10"/>
      <c r="E61" s="10"/>
      <c r="F61" s="10"/>
      <c r="G61"/>
      <c r="H61"/>
      <c r="I61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</row>
    <row r="62" spans="1:24" ht="15.75" thickBot="1" x14ac:dyDescent="0.3">
      <c r="A62"/>
      <c r="B62"/>
      <c r="C62"/>
      <c r="D62"/>
      <c r="E62"/>
      <c r="F62"/>
      <c r="G62"/>
      <c r="H62"/>
      <c r="I62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</row>
    <row r="63" spans="1:24" x14ac:dyDescent="0.25">
      <c r="A63" s="11"/>
      <c r="B63" s="11" t="s">
        <v>63</v>
      </c>
      <c r="C63" s="11" t="s">
        <v>52</v>
      </c>
      <c r="D63" s="11" t="s">
        <v>64</v>
      </c>
      <c r="E63" s="11" t="s">
        <v>65</v>
      </c>
      <c r="F63" s="11" t="s">
        <v>66</v>
      </c>
      <c r="G63" s="11" t="s">
        <v>67</v>
      </c>
      <c r="H63" s="11" t="s">
        <v>68</v>
      </c>
      <c r="I63" s="11" t="s">
        <v>69</v>
      </c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</row>
    <row r="64" spans="1:24" x14ac:dyDescent="0.25">
      <c r="A64" s="8" t="s">
        <v>70</v>
      </c>
      <c r="B64" s="8">
        <v>-1.0515927841435655</v>
      </c>
      <c r="C64" s="8">
        <v>0.93004309568280563</v>
      </c>
      <c r="D64" s="8">
        <v>-1.1306925335234301</v>
      </c>
      <c r="E64" s="8">
        <v>0.30134624757372269</v>
      </c>
      <c r="F64" s="8">
        <v>-3.3273262570453777</v>
      </c>
      <c r="G64" s="8">
        <v>1.2241406887582467</v>
      </c>
      <c r="H64" s="8">
        <v>-3.3273262570453777</v>
      </c>
      <c r="I64" s="8">
        <v>1.2241406887582467</v>
      </c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</row>
    <row r="65" spans="1:24" ht="15.75" thickBot="1" x14ac:dyDescent="0.3">
      <c r="A65" s="10" t="s">
        <v>71</v>
      </c>
      <c r="B65" s="10">
        <v>0.16384455053367589</v>
      </c>
      <c r="C65" s="10">
        <v>4.5427408560216718E-4</v>
      </c>
      <c r="D65" s="10">
        <v>360.6733373674403</v>
      </c>
      <c r="E65" s="10">
        <v>3.0659633657492487E-14</v>
      </c>
      <c r="F65" s="10">
        <v>0.16273298188994789</v>
      </c>
      <c r="G65" s="10">
        <v>0.16495611917740388</v>
      </c>
      <c r="H65" s="10">
        <v>0.16273298188994789</v>
      </c>
      <c r="I65" s="10">
        <v>0.16495611917740388</v>
      </c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</row>
    <row r="66" spans="1:24" x14ac:dyDescent="0.25">
      <c r="A66"/>
      <c r="B66"/>
      <c r="C66"/>
      <c r="D66"/>
      <c r="E66"/>
      <c r="F66"/>
      <c r="G66"/>
      <c r="H66"/>
      <c r="I66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</row>
    <row r="67" spans="1:24" x14ac:dyDescent="0.25">
      <c r="A67"/>
      <c r="B67"/>
      <c r="C67"/>
      <c r="D67"/>
      <c r="E67"/>
      <c r="F67"/>
      <c r="G67"/>
      <c r="H67"/>
      <c r="I67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</row>
    <row r="68" spans="1:24" x14ac:dyDescent="0.25">
      <c r="A68"/>
      <c r="B68"/>
      <c r="C68"/>
      <c r="D68"/>
      <c r="E68"/>
      <c r="F68"/>
      <c r="G68"/>
      <c r="H68"/>
      <c r="I68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</row>
    <row r="69" spans="1:24" x14ac:dyDescent="0.25">
      <c r="A69" t="s">
        <v>72</v>
      </c>
      <c r="B69"/>
      <c r="C69"/>
      <c r="D69"/>
      <c r="E69"/>
      <c r="F69"/>
      <c r="G69"/>
      <c r="H69"/>
      <c r="I6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 spans="1:24" ht="15.75" thickBot="1" x14ac:dyDescent="0.3">
      <c r="A70"/>
      <c r="B70"/>
      <c r="C70"/>
      <c r="D70"/>
      <c r="E70"/>
      <c r="F70"/>
      <c r="G70"/>
      <c r="H70"/>
      <c r="I70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 spans="1:24" x14ac:dyDescent="0.25">
      <c r="A71" s="11" t="s">
        <v>73</v>
      </c>
      <c r="B71" s="11" t="s">
        <v>74</v>
      </c>
      <c r="C71" s="11" t="s">
        <v>75</v>
      </c>
      <c r="D71"/>
      <c r="E71"/>
      <c r="F71"/>
      <c r="G71"/>
      <c r="H71"/>
      <c r="I71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 spans="1:24" x14ac:dyDescent="0.25">
      <c r="A72" s="8">
        <v>1</v>
      </c>
      <c r="B72" s="8">
        <v>-0.86244335302746633</v>
      </c>
      <c r="C72" s="8">
        <v>0.86244335302746633</v>
      </c>
      <c r="D72"/>
      <c r="E72"/>
      <c r="F72"/>
      <c r="G72"/>
      <c r="H72"/>
      <c r="I72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 spans="1:24" x14ac:dyDescent="0.25">
      <c r="A73" s="8">
        <v>2</v>
      </c>
      <c r="B73" s="8">
        <v>-0.46848823374427229</v>
      </c>
      <c r="C73" s="8">
        <v>0.89617832905864625</v>
      </c>
      <c r="D73"/>
      <c r="E73"/>
      <c r="F73"/>
      <c r="G73"/>
      <c r="H73"/>
      <c r="I73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</row>
    <row r="74" spans="1:24" x14ac:dyDescent="0.25">
      <c r="A74" s="8">
        <v>3</v>
      </c>
      <c r="B74" s="8">
        <v>1.273270363178999</v>
      </c>
      <c r="C74" s="8">
        <v>0.86518011339287115</v>
      </c>
      <c r="D74"/>
      <c r="E74"/>
      <c r="F74"/>
      <c r="G74"/>
      <c r="H74"/>
      <c r="I74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</row>
    <row r="75" spans="1:24" x14ac:dyDescent="0.25">
      <c r="A75" s="8">
        <v>4</v>
      </c>
      <c r="B75" s="8">
        <v>3.4150827376553288</v>
      </c>
      <c r="C75" s="8">
        <v>0.86181821548841153</v>
      </c>
      <c r="D75"/>
      <c r="E75"/>
      <c r="F75"/>
      <c r="G75"/>
      <c r="H75"/>
      <c r="I75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</row>
    <row r="76" spans="1:24" x14ac:dyDescent="0.25">
      <c r="A76" s="8">
        <v>5</v>
      </c>
      <c r="B76" s="8">
        <v>20.791161420752843</v>
      </c>
      <c r="C76" s="8">
        <v>0.59334334496585583</v>
      </c>
      <c r="D76"/>
      <c r="E76"/>
      <c r="F76"/>
      <c r="G76"/>
      <c r="H76"/>
      <c r="I76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</row>
    <row r="77" spans="1:24" x14ac:dyDescent="0.25">
      <c r="A77" s="8">
        <v>6</v>
      </c>
      <c r="B77" s="8">
        <v>42.796303780178178</v>
      </c>
      <c r="C77" s="8">
        <v>-2.7294248740780347E-2</v>
      </c>
      <c r="D77"/>
      <c r="E77"/>
      <c r="F77"/>
      <c r="G77"/>
      <c r="H77"/>
      <c r="I77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</row>
    <row r="78" spans="1:24" x14ac:dyDescent="0.25">
      <c r="A78" s="8">
        <v>7</v>
      </c>
      <c r="B78" s="8">
        <v>219.142648643325</v>
      </c>
      <c r="C78" s="8">
        <v>-5.2976009861380078</v>
      </c>
      <c r="D78"/>
      <c r="E78"/>
      <c r="F78"/>
      <c r="G78"/>
      <c r="H78"/>
      <c r="I78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</row>
    <row r="79" spans="1:24" ht="15.75" thickBot="1" x14ac:dyDescent="0.3">
      <c r="A79" s="10">
        <v>8</v>
      </c>
      <c r="B79" s="10">
        <v>920.50054699429393</v>
      </c>
      <c r="C79" s="10">
        <v>1.245931878945612</v>
      </c>
      <c r="D79"/>
      <c r="E79"/>
      <c r="F79"/>
      <c r="G79"/>
      <c r="H79"/>
      <c r="I7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</row>
    <row r="80" spans="1:24" x14ac:dyDescent="0.25">
      <c r="A80"/>
      <c r="B80"/>
      <c r="C80"/>
      <c r="D80"/>
      <c r="E80"/>
      <c r="F80"/>
      <c r="G80"/>
      <c r="H80"/>
      <c r="I80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</row>
    <row r="81" spans="1:24" x14ac:dyDescent="0.25">
      <c r="A81"/>
      <c r="B81"/>
      <c r="C81"/>
      <c r="D81"/>
      <c r="E81"/>
      <c r="F81"/>
      <c r="G81"/>
      <c r="H81"/>
      <c r="I81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</row>
    <row r="82" spans="1:24" x14ac:dyDescent="0.25">
      <c r="A82"/>
      <c r="B82"/>
      <c r="C82"/>
      <c r="D82"/>
      <c r="E82"/>
      <c r="F82"/>
      <c r="G82"/>
      <c r="H82"/>
      <c r="I82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</row>
    <row r="83" spans="1:24" x14ac:dyDescent="0.25">
      <c r="A83"/>
      <c r="B83"/>
      <c r="C83"/>
      <c r="D83"/>
      <c r="E83"/>
      <c r="F83"/>
      <c r="G83"/>
      <c r="H83"/>
      <c r="I83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</row>
    <row r="84" spans="1:24" x14ac:dyDescent="0.25">
      <c r="A84"/>
      <c r="B84"/>
      <c r="C84"/>
      <c r="D84"/>
      <c r="E84"/>
      <c r="F84"/>
      <c r="G84"/>
      <c r="H84"/>
      <c r="I84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</row>
    <row r="85" spans="1:24" x14ac:dyDescent="0.25">
      <c r="A85"/>
      <c r="B85"/>
      <c r="C85"/>
      <c r="D85"/>
      <c r="E85"/>
      <c r="F85"/>
      <c r="G85"/>
      <c r="H85"/>
      <c r="I85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</row>
    <row r="86" spans="1:24" x14ac:dyDescent="0.25">
      <c r="A86"/>
      <c r="B86"/>
      <c r="C86"/>
      <c r="D86"/>
      <c r="E86"/>
      <c r="F86"/>
      <c r="G86"/>
      <c r="H86"/>
      <c r="I86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</row>
    <row r="87" spans="1:24" x14ac:dyDescent="0.25">
      <c r="A87"/>
      <c r="B87"/>
      <c r="C87"/>
      <c r="D87"/>
      <c r="E87"/>
      <c r="F87"/>
      <c r="G87"/>
      <c r="H87"/>
      <c r="I87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</row>
    <row r="88" spans="1:24" x14ac:dyDescent="0.25">
      <c r="A88"/>
      <c r="B88"/>
      <c r="C88"/>
      <c r="D88"/>
      <c r="E88"/>
      <c r="F88"/>
      <c r="G88"/>
      <c r="H88"/>
      <c r="I88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</row>
    <row r="89" spans="1:24" x14ac:dyDescent="0.25">
      <c r="A89"/>
      <c r="B89"/>
      <c r="C89"/>
      <c r="D89"/>
      <c r="E89"/>
      <c r="F89"/>
      <c r="G89"/>
      <c r="H89"/>
      <c r="I8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</row>
    <row r="90" spans="1:24" x14ac:dyDescent="0.25">
      <c r="A90"/>
      <c r="B90"/>
      <c r="C90"/>
      <c r="D90"/>
      <c r="E90"/>
      <c r="F90"/>
      <c r="G90"/>
      <c r="H90"/>
      <c r="I90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 spans="1:24" x14ac:dyDescent="0.25">
      <c r="A91"/>
      <c r="B91"/>
      <c r="C91"/>
      <c r="D91"/>
      <c r="E91"/>
      <c r="F91"/>
      <c r="G91"/>
      <c r="H91"/>
      <c r="I91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 spans="1:24" x14ac:dyDescent="0.25">
      <c r="A92"/>
      <c r="B92"/>
      <c r="C92"/>
      <c r="D92"/>
      <c r="E92"/>
      <c r="F92"/>
      <c r="G92"/>
      <c r="H92"/>
      <c r="I92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 spans="1:24" x14ac:dyDescent="0.25">
      <c r="A93"/>
      <c r="B93"/>
      <c r="C93"/>
      <c r="D93"/>
      <c r="E93"/>
      <c r="F93"/>
      <c r="G93"/>
      <c r="H93"/>
      <c r="I93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 spans="1:24" x14ac:dyDescent="0.25">
      <c r="A94"/>
      <c r="B94"/>
      <c r="C94"/>
      <c r="D94"/>
      <c r="E94"/>
      <c r="F94"/>
      <c r="G94"/>
      <c r="H94"/>
      <c r="I94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 spans="1:24" x14ac:dyDescent="0.25">
      <c r="A95"/>
      <c r="B95"/>
      <c r="C95"/>
      <c r="D95"/>
      <c r="E95"/>
      <c r="F95"/>
      <c r="G95"/>
      <c r="H95"/>
      <c r="I95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 spans="1:24" x14ac:dyDescent="0.25">
      <c r="A96"/>
      <c r="B96"/>
      <c r="C96"/>
      <c r="D96"/>
      <c r="E96"/>
      <c r="F96"/>
      <c r="G96"/>
      <c r="H96"/>
      <c r="I96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</row>
    <row r="97" spans="1:24" x14ac:dyDescent="0.25">
      <c r="A97"/>
      <c r="B97"/>
      <c r="C97"/>
      <c r="D97"/>
      <c r="E97"/>
      <c r="F97"/>
      <c r="G97"/>
      <c r="H97"/>
      <c r="I97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 spans="1:24" x14ac:dyDescent="0.25">
      <c r="A98"/>
      <c r="B98"/>
      <c r="C98"/>
      <c r="D98"/>
      <c r="E98"/>
      <c r="F98"/>
      <c r="G98"/>
      <c r="H98"/>
      <c r="I98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</row>
    <row r="99" spans="1:24" x14ac:dyDescent="0.25">
      <c r="A99"/>
      <c r="B99"/>
      <c r="C99"/>
      <c r="D99"/>
      <c r="E99"/>
      <c r="F99"/>
      <c r="G99"/>
      <c r="H99"/>
      <c r="I9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</row>
    <row r="100" spans="1:24" x14ac:dyDescent="0.25">
      <c r="A100"/>
      <c r="B100"/>
      <c r="C100"/>
      <c r="D100"/>
      <c r="E100"/>
      <c r="F100"/>
      <c r="G100"/>
      <c r="H100"/>
      <c r="I100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 spans="1:24" x14ac:dyDescent="0.25">
      <c r="A101"/>
      <c r="B101"/>
      <c r="C101"/>
      <c r="D101"/>
      <c r="E101"/>
      <c r="F101"/>
      <c r="G101"/>
      <c r="H101"/>
      <c r="I101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 spans="1:24" x14ac:dyDescent="0.25">
      <c r="A102"/>
      <c r="B102"/>
      <c r="C102"/>
      <c r="D102"/>
      <c r="E102"/>
      <c r="F102"/>
      <c r="G102"/>
      <c r="H102"/>
      <c r="I102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 spans="1:24" x14ac:dyDescent="0.25">
      <c r="A103"/>
      <c r="B103"/>
      <c r="C103"/>
      <c r="D103"/>
      <c r="E103"/>
      <c r="F103"/>
      <c r="G103"/>
      <c r="H103"/>
      <c r="I103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 spans="1:24" x14ac:dyDescent="0.25">
      <c r="A104"/>
      <c r="B104"/>
      <c r="C104"/>
      <c r="D104"/>
      <c r="E104"/>
      <c r="F104"/>
      <c r="G104"/>
      <c r="H104"/>
      <c r="I104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 spans="1:24" x14ac:dyDescent="0.25">
      <c r="A105"/>
      <c r="B105"/>
      <c r="C105"/>
      <c r="D105"/>
      <c r="E105"/>
      <c r="F105"/>
      <c r="G105"/>
      <c r="H105"/>
      <c r="I105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 spans="1:24" x14ac:dyDescent="0.25">
      <c r="A106"/>
      <c r="B106"/>
      <c r="C106"/>
      <c r="D106"/>
      <c r="E106"/>
      <c r="F106"/>
      <c r="G106"/>
      <c r="H106"/>
      <c r="I106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 spans="1:24" x14ac:dyDescent="0.25">
      <c r="A107"/>
      <c r="B107"/>
      <c r="C107"/>
      <c r="D107"/>
      <c r="E107"/>
      <c r="F107"/>
      <c r="G107"/>
      <c r="H107"/>
      <c r="I107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 spans="1:24" x14ac:dyDescent="0.25">
      <c r="A108"/>
      <c r="B108"/>
      <c r="C108"/>
      <c r="D108"/>
      <c r="E108"/>
      <c r="F108"/>
      <c r="G108"/>
      <c r="H108"/>
      <c r="I108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 spans="1:24" x14ac:dyDescent="0.25">
      <c r="A109"/>
      <c r="B109"/>
      <c r="C109"/>
      <c r="D109"/>
      <c r="E109"/>
      <c r="F109"/>
      <c r="G109"/>
      <c r="H109"/>
      <c r="I10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 spans="1:24" x14ac:dyDescent="0.25">
      <c r="A110"/>
      <c r="B110"/>
      <c r="C110"/>
      <c r="D110"/>
      <c r="E110"/>
      <c r="F110"/>
      <c r="G110"/>
      <c r="H110"/>
      <c r="I110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 spans="1:24" x14ac:dyDescent="0.25">
      <c r="A111"/>
      <c r="B111"/>
      <c r="C111"/>
      <c r="D111"/>
      <c r="E111"/>
      <c r="F111"/>
      <c r="G111"/>
      <c r="H111"/>
      <c r="I111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2" sqref="G2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89</v>
      </c>
      <c r="C1" t="s">
        <v>24</v>
      </c>
      <c r="D1" t="s">
        <v>21</v>
      </c>
      <c r="E1" t="s">
        <v>86</v>
      </c>
      <c r="F1" t="s">
        <v>87</v>
      </c>
      <c r="G1" t="s">
        <v>88</v>
      </c>
    </row>
    <row r="2" spans="1:7" x14ac:dyDescent="0.25">
      <c r="A2" t="s">
        <v>91</v>
      </c>
      <c r="B2" s="14" t="s">
        <v>90</v>
      </c>
      <c r="C2">
        <f>'Scintillation Counter Results'!C2/60</f>
        <v>1.2566666666666668</v>
      </c>
      <c r="E2" s="1" t="s">
        <v>46</v>
      </c>
      <c r="F2" s="1">
        <f>C2*'Calibration Data'!$B$31+'Calibration Data'!$B$30</f>
        <v>0.16044459327587313</v>
      </c>
      <c r="G2" s="15">
        <f>'Calibration Data'!$B$20</f>
        <v>0.15745067498955981</v>
      </c>
    </row>
    <row r="3" spans="1:7" x14ac:dyDescent="0.25">
      <c r="A3" t="s">
        <v>92</v>
      </c>
      <c r="B3" s="14" t="s">
        <v>90</v>
      </c>
      <c r="C3">
        <f>'Scintillation Counter Results'!C3/60</f>
        <v>1.5183333333333333</v>
      </c>
      <c r="E3" s="1" t="s">
        <v>46</v>
      </c>
      <c r="F3" s="1">
        <f>C3*'Calibration Data'!$B$31+'Calibration Data'!$B$30</f>
        <v>0.20210026952735508</v>
      </c>
      <c r="G3" s="15">
        <f>'Calibration Data'!$B$20</f>
        <v>0.15745067498955981</v>
      </c>
    </row>
    <row r="4" spans="1:7" x14ac:dyDescent="0.25">
      <c r="A4" t="s">
        <v>93</v>
      </c>
      <c r="B4" s="14" t="s">
        <v>90</v>
      </c>
      <c r="C4">
        <f>'Scintillation Counter Results'!C4/60</f>
        <v>1.0766666666666667</v>
      </c>
      <c r="E4" s="1" t="s">
        <v>46</v>
      </c>
      <c r="F4" s="1">
        <f>C4*'Calibration Data'!$B$31+'Calibration Data'!$B$30</f>
        <v>0.13178973317931225</v>
      </c>
      <c r="G4" s="15">
        <f>'Calibration Data'!$B$20</f>
        <v>0.15745067498955981</v>
      </c>
    </row>
    <row r="5" spans="1:7" x14ac:dyDescent="0.25">
      <c r="A5" t="s">
        <v>94</v>
      </c>
      <c r="B5" s="14" t="s">
        <v>90</v>
      </c>
      <c r="C5">
        <f>'Scintillation Counter Results'!C5/60</f>
        <v>1.74</v>
      </c>
      <c r="E5" s="1" t="s">
        <v>46</v>
      </c>
      <c r="F5" s="1">
        <f>C5*'Calibration Data'!$B$31+'Calibration Data'!$B$30</f>
        <v>0.2373881990907124</v>
      </c>
      <c r="G5" s="15">
        <f>'Calibration Data'!$B$20</f>
        <v>0.15745067498955981</v>
      </c>
    </row>
    <row r="6" spans="1:7" x14ac:dyDescent="0.25">
      <c r="A6" t="s">
        <v>95</v>
      </c>
      <c r="B6" s="14" t="s">
        <v>90</v>
      </c>
      <c r="C6">
        <f>'Scintillation Counter Results'!C6/60</f>
        <v>1.7316666666666667</v>
      </c>
      <c r="E6" s="1" t="s">
        <v>46</v>
      </c>
      <c r="F6" s="1">
        <f>C6*'Calibration Data'!$B$31+'Calibration Data'!$B$30</f>
        <v>0.2360615851973531</v>
      </c>
      <c r="G6" s="15">
        <f>'Calibration Data'!$B$20</f>
        <v>0.15745067498955981</v>
      </c>
    </row>
    <row r="7" spans="1:7" x14ac:dyDescent="0.25">
      <c r="A7" t="s">
        <v>96</v>
      </c>
      <c r="B7" s="14" t="s">
        <v>90</v>
      </c>
      <c r="C7">
        <f>'Scintillation Counter Results'!C7/60</f>
        <v>1.8283333333333334</v>
      </c>
      <c r="E7" s="1" t="s">
        <v>46</v>
      </c>
      <c r="F7" s="1">
        <f>C7*'Calibration Data'!$B$31+'Calibration Data'!$B$30</f>
        <v>0.25145030636032095</v>
      </c>
      <c r="G7" s="15">
        <f>'Calibration Data'!$B$20</f>
        <v>0.15745067498955981</v>
      </c>
    </row>
    <row r="8" spans="1:7" ht="15.75" customHeight="1" x14ac:dyDescent="0.25">
      <c r="A8" t="s">
        <v>97</v>
      </c>
      <c r="B8" s="14" t="s">
        <v>90</v>
      </c>
      <c r="C8">
        <f>'Scintillation Counter Results'!C8/60</f>
        <v>4.4300000000000006</v>
      </c>
      <c r="E8" s="1" t="s">
        <v>46</v>
      </c>
      <c r="F8" s="1">
        <f>C8*'Calibration Data'!$B$31+'Calibration Data'!$B$30</f>
        <v>0.66561916386709408</v>
      </c>
      <c r="G8" s="15">
        <f>'Calibration Data'!$B$20</f>
        <v>0.15745067498955981</v>
      </c>
    </row>
    <row r="9" spans="1:7" x14ac:dyDescent="0.25">
      <c r="A9" t="s">
        <v>98</v>
      </c>
      <c r="B9" s="14" t="s">
        <v>90</v>
      </c>
      <c r="C9">
        <f>'Scintillation Counter Results'!C9/60</f>
        <v>3.8366666666666664</v>
      </c>
      <c r="E9" s="1" t="s">
        <v>46</v>
      </c>
      <c r="F9" s="1">
        <f>C9*'Calibration Data'!$B$31+'Calibration Data'!$B$30</f>
        <v>0.57116425465991183</v>
      </c>
      <c r="G9" s="15">
        <f>'Calibration Data'!$B$20</f>
        <v>0.15745067498955981</v>
      </c>
    </row>
    <row r="10" spans="1:7" x14ac:dyDescent="0.25">
      <c r="A10" t="s">
        <v>99</v>
      </c>
      <c r="B10" s="14" t="s">
        <v>90</v>
      </c>
      <c r="C10">
        <f>'Scintillation Counter Results'!C10/60</f>
        <v>4.5583333333333336</v>
      </c>
      <c r="E10" s="1" t="s">
        <v>46</v>
      </c>
      <c r="F10" s="1">
        <f>C10*'Calibration Data'!$B$31+'Calibration Data'!$B$30</f>
        <v>0.68604901782482719</v>
      </c>
      <c r="G10" s="15">
        <f>'Calibration Data'!$B$20</f>
        <v>0.15745067498955981</v>
      </c>
    </row>
    <row r="11" spans="1:7" x14ac:dyDescent="0.25">
      <c r="A11" t="s">
        <v>100</v>
      </c>
      <c r="B11" s="14" t="s">
        <v>90</v>
      </c>
      <c r="C11">
        <f>'Scintillation Counter Results'!C11/60</f>
        <v>8.211666666666666</v>
      </c>
      <c r="E11" s="1" t="s">
        <v>46</v>
      </c>
      <c r="F11" s="1">
        <f>C11*'Calibration Data'!$B$31+'Calibration Data'!$B$30</f>
        <v>1.2676365486735435</v>
      </c>
      <c r="G11" s="15">
        <f>'Calibration Data'!$B$20</f>
        <v>0.15745067498955981</v>
      </c>
    </row>
    <row r="12" spans="1:7" x14ac:dyDescent="0.25">
      <c r="A12" t="s">
        <v>101</v>
      </c>
      <c r="B12" s="14" t="s">
        <v>90</v>
      </c>
      <c r="C12">
        <f>'Scintillation Counter Results'!C12/60</f>
        <v>8.4649999999999999</v>
      </c>
      <c r="E12" s="1" t="s">
        <v>46</v>
      </c>
      <c r="F12" s="1">
        <f>C12*'Calibration Data'!$B$31+'Calibration Data'!$B$30</f>
        <v>1.3079656110316662</v>
      </c>
      <c r="G12" s="15">
        <f>'Calibration Data'!$B$20</f>
        <v>0.15745067498955981</v>
      </c>
    </row>
    <row r="13" spans="1:7" x14ac:dyDescent="0.25">
      <c r="A13" t="s">
        <v>102</v>
      </c>
      <c r="B13" s="14" t="s">
        <v>90</v>
      </c>
      <c r="C13">
        <f>'Scintillation Counter Results'!C13/60</f>
        <v>7.83</v>
      </c>
      <c r="E13" s="1" t="s">
        <v>46</v>
      </c>
      <c r="F13" s="1">
        <f>C13*'Calibration Data'!$B$31+'Calibration Data'!$B$30</f>
        <v>1.2068776323576877</v>
      </c>
      <c r="G13" s="15">
        <f>'Calibration Data'!$B$20</f>
        <v>0.15745067498955981</v>
      </c>
    </row>
    <row r="14" spans="1:7" x14ac:dyDescent="0.25">
      <c r="A14" t="s">
        <v>103</v>
      </c>
      <c r="B14" s="14" t="s">
        <v>90</v>
      </c>
      <c r="C14">
        <f>'Scintillation Counter Results'!C14/60</f>
        <v>18.546666666666667</v>
      </c>
      <c r="E14" s="1" t="s">
        <v>46</v>
      </c>
      <c r="F14" s="1">
        <f>C14*'Calibration Data'!$B$31+'Calibration Data'!$B$30</f>
        <v>2.9129030992177456</v>
      </c>
      <c r="G14" s="15">
        <f>'Calibration Data'!$B$20</f>
        <v>0.15745067498955981</v>
      </c>
    </row>
    <row r="15" spans="1:7" x14ac:dyDescent="0.25">
      <c r="A15" t="s">
        <v>104</v>
      </c>
      <c r="B15" s="14" t="s">
        <v>90</v>
      </c>
      <c r="C15">
        <f>'Scintillation Counter Results'!C15/60</f>
        <v>18.181666666666668</v>
      </c>
      <c r="E15" s="1" t="s">
        <v>46</v>
      </c>
      <c r="F15" s="1">
        <f>C15*'Calibration Data'!$B$31+'Calibration Data'!$B$30</f>
        <v>2.8547974106886085</v>
      </c>
      <c r="G15" s="15">
        <f>'Calibration Data'!$B$20</f>
        <v>0.15745067498955981</v>
      </c>
    </row>
    <row r="16" spans="1:7" x14ac:dyDescent="0.25">
      <c r="A16" t="s">
        <v>105</v>
      </c>
      <c r="B16" s="14" t="s">
        <v>90</v>
      </c>
      <c r="C16">
        <f>'Scintillation Counter Results'!C16/60</f>
        <v>20.063333333333333</v>
      </c>
      <c r="E16" s="1" t="s">
        <v>46</v>
      </c>
      <c r="F16" s="1">
        <f>C16*'Calibration Data'!$B$31+'Calibration Data'!$B$30</f>
        <v>3.1543468278091376</v>
      </c>
      <c r="G16" s="15">
        <f>'Calibration Data'!$B$20</f>
        <v>0.15745067498955981</v>
      </c>
    </row>
    <row r="17" spans="1:7" x14ac:dyDescent="0.25">
      <c r="A17" t="s">
        <v>106</v>
      </c>
      <c r="B17" s="14" t="s">
        <v>90</v>
      </c>
      <c r="C17">
        <f>'Scintillation Counter Results'!C17/60</f>
        <v>40.335000000000001</v>
      </c>
      <c r="E17" s="1" t="s">
        <v>46</v>
      </c>
      <c r="F17" s="1">
        <f>C17*'Calibration Data'!$B$31+'Calibration Data'!$B$30</f>
        <v>6.3814677847949675</v>
      </c>
      <c r="G17" s="15">
        <f>'Calibration Data'!$B$20</f>
        <v>0.15745067498955981</v>
      </c>
    </row>
    <row r="18" spans="1:7" x14ac:dyDescent="0.25">
      <c r="A18" t="s">
        <v>107</v>
      </c>
      <c r="B18" s="14" t="s">
        <v>90</v>
      </c>
      <c r="C18">
        <f>'Scintillation Counter Results'!C18/60</f>
        <v>36.113333333333337</v>
      </c>
      <c r="E18" s="1" t="s">
        <v>46</v>
      </c>
      <c r="F18" s="1">
        <f>C18*'Calibration Data'!$B$31+'Calibration Data'!$B$30</f>
        <v>5.7094051864191471</v>
      </c>
      <c r="G18" s="15">
        <f>'Calibration Data'!$B$20</f>
        <v>0.15745067498955981</v>
      </c>
    </row>
    <row r="19" spans="1:7" x14ac:dyDescent="0.25">
      <c r="A19" t="s">
        <v>108</v>
      </c>
      <c r="B19" s="14" t="s">
        <v>90</v>
      </c>
      <c r="C19">
        <f>'Scintillation Counter Results'!C19/60</f>
        <v>39.043333333333329</v>
      </c>
      <c r="E19" s="1" t="s">
        <v>46</v>
      </c>
      <c r="F19" s="1">
        <f>C19*'Calibration Data'!$B$31+'Calibration Data'!$B$30</f>
        <v>6.1758426313242749</v>
      </c>
      <c r="G19" s="15">
        <f>'Calibration Data'!$B$20</f>
        <v>0.15745067498955981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9" sqref="B29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6.28515625" bestFit="1" customWidth="1"/>
    <col min="14" max="14" width="21.140625" bestFit="1" customWidth="1"/>
    <col min="15" max="15" width="24.7109375" bestFit="1" customWidth="1"/>
    <col min="16" max="16" width="29.85546875" bestFit="1" customWidth="1"/>
    <col min="17" max="17" width="11.28515625" bestFit="1" customWidth="1"/>
    <col min="18" max="18" width="12.42578125" bestFit="1" customWidth="1"/>
    <col min="19" max="19" width="16.85546875" bestFit="1" customWidth="1"/>
    <col min="20" max="20" width="18.140625" bestFit="1" customWidth="1"/>
    <col min="21" max="21" width="9" bestFit="1" customWidth="1"/>
    <col min="22" max="22" width="10.140625" bestFit="1" customWidth="1"/>
    <col min="23" max="23" width="13.140625" bestFit="1" customWidth="1"/>
    <col min="24" max="24" width="14.28515625" bestFit="1" customWidth="1"/>
  </cols>
  <sheetData>
    <row r="1" spans="1:23" x14ac:dyDescent="0.25">
      <c r="A1" t="s">
        <v>10</v>
      </c>
      <c r="B1" t="s">
        <v>28</v>
      </c>
      <c r="C1" t="s">
        <v>29</v>
      </c>
      <c r="D1" t="s">
        <v>12</v>
      </c>
      <c r="E1" t="s">
        <v>26</v>
      </c>
      <c r="F1" t="s">
        <v>27</v>
      </c>
      <c r="G1" t="s">
        <v>80</v>
      </c>
      <c r="H1" t="s">
        <v>81</v>
      </c>
      <c r="I1" t="s">
        <v>76</v>
      </c>
      <c r="J1" t="s">
        <v>77</v>
      </c>
      <c r="K1" t="s">
        <v>82</v>
      </c>
      <c r="L1" t="s">
        <v>83</v>
      </c>
      <c r="M1" t="s">
        <v>78</v>
      </c>
      <c r="N1" t="s">
        <v>79</v>
      </c>
      <c r="O1" t="s">
        <v>84</v>
      </c>
      <c r="P1" t="s">
        <v>85</v>
      </c>
      <c r="Q1" t="s">
        <v>30</v>
      </c>
      <c r="R1" t="s">
        <v>31</v>
      </c>
      <c r="S1" t="s">
        <v>34</v>
      </c>
      <c r="T1" t="s">
        <v>35</v>
      </c>
      <c r="U1" t="s">
        <v>32</v>
      </c>
      <c r="V1" t="s">
        <v>33</v>
      </c>
      <c r="W1" t="s">
        <v>113</v>
      </c>
    </row>
    <row r="2" spans="1:23" x14ac:dyDescent="0.25">
      <c r="A2" t="s">
        <v>91</v>
      </c>
      <c r="D2" s="1"/>
      <c r="E2" s="1"/>
      <c r="F2" s="1"/>
      <c r="G2" s="1">
        <v>100</v>
      </c>
      <c r="H2" s="1">
        <v>5</v>
      </c>
      <c r="I2" s="1">
        <f>'Count-&gt;Actual Activity'!F2</f>
        <v>0.16044459327587313</v>
      </c>
      <c r="J2" s="1">
        <f>'Count-&gt;Actual Activity'!G2</f>
        <v>0.15745067498955981</v>
      </c>
      <c r="K2" s="1"/>
      <c r="L2" s="1"/>
      <c r="M2" s="1"/>
      <c r="N2" s="1"/>
      <c r="O2" s="1"/>
      <c r="P2" s="1"/>
      <c r="Q2" t="e">
        <f>I2/K2</f>
        <v>#DIV/0!</v>
      </c>
      <c r="R2" t="e">
        <f>SQRT((L2/K2)^2+(J2/I2)^2)*Q2</f>
        <v>#DIV/0!</v>
      </c>
      <c r="S2">
        <f>B2*Parameters!$B$6</f>
        <v>0</v>
      </c>
      <c r="T2" t="e">
        <f>SQRT((C2/B2)^2+(Parameters!$C$6/Parameters!$B$6)^2)*'Bottle Results'!S2</f>
        <v>#DIV/0!</v>
      </c>
      <c r="U2" t="e">
        <f t="shared" ref="U2:U19" si="0">(S2-Q2*G2)/E2</f>
        <v>#DIV/0!</v>
      </c>
      <c r="W2" t="e">
        <f t="shared" ref="W2:W19" si="1">(S2-Q2*G2)/S2</f>
        <v>#DIV/0!</v>
      </c>
    </row>
    <row r="3" spans="1:23" x14ac:dyDescent="0.25">
      <c r="A3" t="s">
        <v>92</v>
      </c>
      <c r="D3" s="1"/>
      <c r="E3" s="1"/>
      <c r="F3" s="1"/>
      <c r="G3" s="1">
        <v>100</v>
      </c>
      <c r="H3" s="1">
        <v>5</v>
      </c>
      <c r="I3" s="1">
        <f>'Count-&gt;Actual Activity'!F3</f>
        <v>0.20210026952735508</v>
      </c>
      <c r="J3" s="1">
        <f>'Count-&gt;Actual Activity'!G3</f>
        <v>0.15745067498955981</v>
      </c>
      <c r="K3" s="1"/>
      <c r="L3" s="1"/>
      <c r="M3" s="1"/>
      <c r="N3" s="1"/>
      <c r="O3" s="1"/>
      <c r="P3" s="1"/>
      <c r="Q3" t="e">
        <f t="shared" ref="Q3:Q19" si="2">I3/K3</f>
        <v>#DIV/0!</v>
      </c>
      <c r="R3" t="e">
        <f t="shared" ref="R3:R19" si="3">SQRT((L3/K3)^2+(J3/I3)^2)*Q3</f>
        <v>#DIV/0!</v>
      </c>
      <c r="S3">
        <f>B3*Parameters!$B$6</f>
        <v>0</v>
      </c>
      <c r="T3" t="e">
        <f>SQRT((C3/B3)^2+(Parameters!$C$6/Parameters!$B$6)^2)*'Bottle Results'!S3</f>
        <v>#DIV/0!</v>
      </c>
      <c r="U3" t="e">
        <f t="shared" si="0"/>
        <v>#DIV/0!</v>
      </c>
      <c r="W3" t="e">
        <f t="shared" si="1"/>
        <v>#DIV/0!</v>
      </c>
    </row>
    <row r="4" spans="1:23" x14ac:dyDescent="0.25">
      <c r="A4" t="s">
        <v>93</v>
      </c>
      <c r="D4" s="1"/>
      <c r="E4" s="1"/>
      <c r="F4" s="1"/>
      <c r="G4" s="1">
        <v>100</v>
      </c>
      <c r="H4" s="1">
        <v>5</v>
      </c>
      <c r="I4" s="1">
        <f>'Count-&gt;Actual Activity'!F4</f>
        <v>0.13178973317931225</v>
      </c>
      <c r="J4" s="1">
        <f>'Count-&gt;Actual Activity'!G4</f>
        <v>0.15745067498955981</v>
      </c>
      <c r="K4" s="1"/>
      <c r="L4" s="1"/>
      <c r="M4" s="1"/>
      <c r="N4" s="1"/>
      <c r="O4" s="1"/>
      <c r="P4" s="1"/>
      <c r="Q4" t="e">
        <f t="shared" si="2"/>
        <v>#DIV/0!</v>
      </c>
      <c r="R4" t="e">
        <f t="shared" si="3"/>
        <v>#DIV/0!</v>
      </c>
      <c r="S4">
        <f>B4*Parameters!$B$6</f>
        <v>0</v>
      </c>
      <c r="T4" t="e">
        <f>SQRT((C4/B4)^2+(Parameters!$C$6/Parameters!$B$6)^2)*'Bottle Results'!S4</f>
        <v>#DIV/0!</v>
      </c>
      <c r="U4" t="e">
        <f t="shared" si="0"/>
        <v>#DIV/0!</v>
      </c>
      <c r="W4" t="e">
        <f t="shared" si="1"/>
        <v>#DIV/0!</v>
      </c>
    </row>
    <row r="5" spans="1:23" x14ac:dyDescent="0.25">
      <c r="A5" t="s">
        <v>94</v>
      </c>
      <c r="D5" s="1"/>
      <c r="E5" s="1"/>
      <c r="F5" s="1"/>
      <c r="G5" s="1">
        <v>100</v>
      </c>
      <c r="H5" s="1">
        <v>5</v>
      </c>
      <c r="I5" s="1">
        <f>'Count-&gt;Actual Activity'!F5</f>
        <v>0.2373881990907124</v>
      </c>
      <c r="J5" s="1">
        <f>'Count-&gt;Actual Activity'!G5</f>
        <v>0.15745067498955981</v>
      </c>
      <c r="K5" s="1"/>
      <c r="L5" s="1"/>
      <c r="M5" s="1"/>
      <c r="N5" s="1"/>
      <c r="O5" s="1"/>
      <c r="P5" s="1"/>
      <c r="Q5" t="e">
        <f t="shared" si="2"/>
        <v>#DIV/0!</v>
      </c>
      <c r="R5" t="e">
        <f t="shared" si="3"/>
        <v>#DIV/0!</v>
      </c>
      <c r="S5">
        <f>B5*Parameters!$B$6</f>
        <v>0</v>
      </c>
      <c r="T5" t="e">
        <f>SQRT((C5/B5)^2+(Parameters!$C$6/Parameters!$B$6)^2)*'Bottle Results'!S5</f>
        <v>#DIV/0!</v>
      </c>
      <c r="U5" t="e">
        <f t="shared" si="0"/>
        <v>#DIV/0!</v>
      </c>
      <c r="W5" t="e">
        <f t="shared" si="1"/>
        <v>#DIV/0!</v>
      </c>
    </row>
    <row r="6" spans="1:23" x14ac:dyDescent="0.25">
      <c r="A6" t="s">
        <v>95</v>
      </c>
      <c r="D6" s="1"/>
      <c r="E6" s="1"/>
      <c r="F6" s="1"/>
      <c r="G6" s="1">
        <v>100</v>
      </c>
      <c r="H6" s="1">
        <v>5</v>
      </c>
      <c r="I6" s="1">
        <f>'Count-&gt;Actual Activity'!F6</f>
        <v>0.2360615851973531</v>
      </c>
      <c r="J6" s="1">
        <f>'Count-&gt;Actual Activity'!G6</f>
        <v>0.15745067498955981</v>
      </c>
      <c r="K6" s="1"/>
      <c r="L6" s="1"/>
      <c r="M6" s="1"/>
      <c r="N6" s="1"/>
      <c r="O6" s="1"/>
      <c r="P6" s="1"/>
      <c r="Q6" t="e">
        <f t="shared" si="2"/>
        <v>#DIV/0!</v>
      </c>
      <c r="R6" t="e">
        <f t="shared" si="3"/>
        <v>#DIV/0!</v>
      </c>
      <c r="S6">
        <f>B6*Parameters!$B$6</f>
        <v>0</v>
      </c>
      <c r="T6" t="e">
        <f>SQRT((C6/B6)^2+(Parameters!$C$6/Parameters!$B$6)^2)*'Bottle Results'!S6</f>
        <v>#DIV/0!</v>
      </c>
      <c r="U6" t="e">
        <f t="shared" si="0"/>
        <v>#DIV/0!</v>
      </c>
      <c r="W6" t="e">
        <f t="shared" si="1"/>
        <v>#DIV/0!</v>
      </c>
    </row>
    <row r="7" spans="1:23" x14ac:dyDescent="0.25">
      <c r="A7" t="s">
        <v>96</v>
      </c>
      <c r="D7" s="1"/>
      <c r="E7" s="1"/>
      <c r="F7" s="1"/>
      <c r="G7" s="1">
        <v>100</v>
      </c>
      <c r="H7" s="1">
        <v>5</v>
      </c>
      <c r="I7" s="1">
        <f>'Count-&gt;Actual Activity'!F7</f>
        <v>0.25145030636032095</v>
      </c>
      <c r="J7" s="1">
        <f>'Count-&gt;Actual Activity'!G7</f>
        <v>0.15745067498955981</v>
      </c>
      <c r="K7" s="1"/>
      <c r="L7" s="1"/>
      <c r="M7" s="1"/>
      <c r="N7" s="1"/>
      <c r="O7" s="1"/>
      <c r="P7" s="1"/>
      <c r="Q7" t="e">
        <f t="shared" si="2"/>
        <v>#DIV/0!</v>
      </c>
      <c r="R7" t="e">
        <f t="shared" si="3"/>
        <v>#DIV/0!</v>
      </c>
      <c r="S7">
        <f>B7*Parameters!$B$6</f>
        <v>0</v>
      </c>
      <c r="T7" t="e">
        <f>SQRT((C7/B7)^2+(Parameters!$C$6/Parameters!$B$6)^2)*'Bottle Results'!S7</f>
        <v>#DIV/0!</v>
      </c>
      <c r="U7" t="e">
        <f t="shared" si="0"/>
        <v>#DIV/0!</v>
      </c>
      <c r="W7" t="e">
        <f t="shared" si="1"/>
        <v>#DIV/0!</v>
      </c>
    </row>
    <row r="8" spans="1:23" ht="15.75" customHeight="1" x14ac:dyDescent="0.25">
      <c r="A8" t="s">
        <v>97</v>
      </c>
      <c r="D8" s="1"/>
      <c r="E8" s="1"/>
      <c r="F8" s="1"/>
      <c r="G8" s="1">
        <v>100</v>
      </c>
      <c r="H8" s="1">
        <v>5</v>
      </c>
      <c r="I8" s="1">
        <f>'Count-&gt;Actual Activity'!F8</f>
        <v>0.66561916386709408</v>
      </c>
      <c r="J8" s="1">
        <f>'Count-&gt;Actual Activity'!G8</f>
        <v>0.15745067498955981</v>
      </c>
      <c r="K8" s="1"/>
      <c r="L8" s="1"/>
      <c r="M8" s="1"/>
      <c r="N8" s="1"/>
      <c r="O8" s="1"/>
      <c r="P8" s="1"/>
      <c r="Q8" t="e">
        <f t="shared" si="2"/>
        <v>#DIV/0!</v>
      </c>
      <c r="R8" t="e">
        <f t="shared" si="3"/>
        <v>#DIV/0!</v>
      </c>
      <c r="S8">
        <f>B8*Parameters!$B$6</f>
        <v>0</v>
      </c>
      <c r="T8" t="e">
        <f>SQRT((C8/B8)^2+(Parameters!$C$6/Parameters!$B$6)^2)*'Bottle Results'!S8</f>
        <v>#DIV/0!</v>
      </c>
      <c r="U8" t="e">
        <f t="shared" si="0"/>
        <v>#DIV/0!</v>
      </c>
      <c r="W8" t="e">
        <f t="shared" si="1"/>
        <v>#DIV/0!</v>
      </c>
    </row>
    <row r="9" spans="1:23" x14ac:dyDescent="0.25">
      <c r="A9" t="s">
        <v>98</v>
      </c>
      <c r="D9" s="1"/>
      <c r="E9" s="1"/>
      <c r="F9" s="1"/>
      <c r="G9" s="1">
        <v>100</v>
      </c>
      <c r="H9" s="1">
        <v>5</v>
      </c>
      <c r="I9" s="1">
        <f>'Count-&gt;Actual Activity'!F9</f>
        <v>0.57116425465991183</v>
      </c>
      <c r="J9" s="1">
        <f>'Count-&gt;Actual Activity'!G9</f>
        <v>0.15745067498955981</v>
      </c>
      <c r="K9" s="1"/>
      <c r="L9" s="1"/>
      <c r="M9" s="1"/>
      <c r="N9" s="1"/>
      <c r="O9" s="1"/>
      <c r="P9" s="1"/>
      <c r="Q9" t="e">
        <f t="shared" si="2"/>
        <v>#DIV/0!</v>
      </c>
      <c r="R9" t="e">
        <f t="shared" si="3"/>
        <v>#DIV/0!</v>
      </c>
      <c r="S9">
        <f>B9*Parameters!$B$6</f>
        <v>0</v>
      </c>
      <c r="T9" t="e">
        <f>SQRT((C9/B9)^2+(Parameters!$C$6/Parameters!$B$6)^2)*'Bottle Results'!S9</f>
        <v>#DIV/0!</v>
      </c>
      <c r="U9" t="e">
        <f t="shared" si="0"/>
        <v>#DIV/0!</v>
      </c>
      <c r="W9" t="e">
        <f t="shared" si="1"/>
        <v>#DIV/0!</v>
      </c>
    </row>
    <row r="10" spans="1:23" x14ac:dyDescent="0.25">
      <c r="A10" t="s">
        <v>99</v>
      </c>
      <c r="D10" s="1"/>
      <c r="E10" s="1"/>
      <c r="F10" s="1"/>
      <c r="G10" s="1">
        <v>100</v>
      </c>
      <c r="H10" s="1">
        <v>5</v>
      </c>
      <c r="I10" s="1">
        <f>'Count-&gt;Actual Activity'!F10</f>
        <v>0.68604901782482719</v>
      </c>
      <c r="J10" s="1">
        <f>'Count-&gt;Actual Activity'!G10</f>
        <v>0.15745067498955981</v>
      </c>
      <c r="K10" s="1"/>
      <c r="L10" s="1"/>
      <c r="M10" s="1"/>
      <c r="N10" s="1"/>
      <c r="O10" s="1"/>
      <c r="P10" s="1"/>
      <c r="Q10" t="e">
        <f t="shared" si="2"/>
        <v>#DIV/0!</v>
      </c>
      <c r="R10" t="e">
        <f t="shared" si="3"/>
        <v>#DIV/0!</v>
      </c>
      <c r="S10">
        <f>B10*Parameters!$B$6</f>
        <v>0</v>
      </c>
      <c r="T10" t="e">
        <f>SQRT((C10/B10)^2+(Parameters!$C$6/Parameters!$B$6)^2)*'Bottle Results'!S10</f>
        <v>#DIV/0!</v>
      </c>
      <c r="U10" t="e">
        <f t="shared" si="0"/>
        <v>#DIV/0!</v>
      </c>
      <c r="W10" t="e">
        <f t="shared" si="1"/>
        <v>#DIV/0!</v>
      </c>
    </row>
    <row r="11" spans="1:23" x14ac:dyDescent="0.25">
      <c r="A11" t="s">
        <v>100</v>
      </c>
      <c r="D11" s="1"/>
      <c r="E11" s="1"/>
      <c r="F11" s="1"/>
      <c r="G11" s="1">
        <v>100</v>
      </c>
      <c r="H11" s="1">
        <v>5</v>
      </c>
      <c r="I11" s="1">
        <f>'Count-&gt;Actual Activity'!F11</f>
        <v>1.2676365486735435</v>
      </c>
      <c r="J11" s="1">
        <f>'Count-&gt;Actual Activity'!G11</f>
        <v>0.15745067498955981</v>
      </c>
      <c r="K11" s="1"/>
      <c r="L11" s="1"/>
      <c r="M11" s="1"/>
      <c r="N11" s="1"/>
      <c r="O11" s="1"/>
      <c r="P11" s="1"/>
      <c r="Q11" t="e">
        <f t="shared" si="2"/>
        <v>#DIV/0!</v>
      </c>
      <c r="R11" t="e">
        <f t="shared" si="3"/>
        <v>#DIV/0!</v>
      </c>
      <c r="S11">
        <f>B11*Parameters!$B$6</f>
        <v>0</v>
      </c>
      <c r="T11" t="e">
        <f>SQRT((C11/B11)^2+(Parameters!$C$6/Parameters!$B$6)^2)*'Bottle Results'!S11</f>
        <v>#DIV/0!</v>
      </c>
      <c r="U11" t="e">
        <f t="shared" si="0"/>
        <v>#DIV/0!</v>
      </c>
      <c r="W11" t="e">
        <f t="shared" si="1"/>
        <v>#DIV/0!</v>
      </c>
    </row>
    <row r="12" spans="1:23" x14ac:dyDescent="0.25">
      <c r="A12" t="s">
        <v>101</v>
      </c>
      <c r="D12" s="1"/>
      <c r="E12" s="1"/>
      <c r="F12" s="1"/>
      <c r="G12" s="1">
        <v>100</v>
      </c>
      <c r="H12" s="1">
        <v>5</v>
      </c>
      <c r="I12" s="1">
        <f>'Count-&gt;Actual Activity'!F12</f>
        <v>1.3079656110316662</v>
      </c>
      <c r="J12" s="1">
        <f>'Count-&gt;Actual Activity'!G12</f>
        <v>0.15745067498955981</v>
      </c>
      <c r="K12" s="1"/>
      <c r="L12" s="1"/>
      <c r="M12" s="1"/>
      <c r="N12" s="1"/>
      <c r="O12" s="1"/>
      <c r="P12" s="1"/>
      <c r="Q12" t="e">
        <f t="shared" si="2"/>
        <v>#DIV/0!</v>
      </c>
      <c r="R12" t="e">
        <f t="shared" si="3"/>
        <v>#DIV/0!</v>
      </c>
      <c r="S12">
        <f>B12*Parameters!$B$6</f>
        <v>0</v>
      </c>
      <c r="T12" t="e">
        <f>SQRT((C12/B12)^2+(Parameters!$C$6/Parameters!$B$6)^2)*'Bottle Results'!S12</f>
        <v>#DIV/0!</v>
      </c>
      <c r="U12" t="e">
        <f t="shared" si="0"/>
        <v>#DIV/0!</v>
      </c>
      <c r="W12" t="e">
        <f t="shared" si="1"/>
        <v>#DIV/0!</v>
      </c>
    </row>
    <row r="13" spans="1:23" x14ac:dyDescent="0.25">
      <c r="A13" t="s">
        <v>102</v>
      </c>
      <c r="D13" s="1"/>
      <c r="E13" s="1"/>
      <c r="F13" s="1"/>
      <c r="G13" s="1">
        <v>100</v>
      </c>
      <c r="H13" s="1">
        <v>5</v>
      </c>
      <c r="I13" s="1">
        <f>'Count-&gt;Actual Activity'!F13</f>
        <v>1.2068776323576877</v>
      </c>
      <c r="J13" s="1">
        <f>'Count-&gt;Actual Activity'!G13</f>
        <v>0.15745067498955981</v>
      </c>
      <c r="K13" s="1"/>
      <c r="L13" s="1"/>
      <c r="M13" s="1"/>
      <c r="N13" s="1"/>
      <c r="O13" s="1"/>
      <c r="P13" s="1"/>
      <c r="Q13" t="e">
        <f t="shared" si="2"/>
        <v>#DIV/0!</v>
      </c>
      <c r="R13" t="e">
        <f t="shared" si="3"/>
        <v>#DIV/0!</v>
      </c>
      <c r="S13">
        <f>B13*Parameters!$B$6</f>
        <v>0</v>
      </c>
      <c r="T13" t="e">
        <f>SQRT((C13/B13)^2+(Parameters!$C$6/Parameters!$B$6)^2)*'Bottle Results'!S13</f>
        <v>#DIV/0!</v>
      </c>
      <c r="U13" t="e">
        <f t="shared" si="0"/>
        <v>#DIV/0!</v>
      </c>
      <c r="W13" t="e">
        <f t="shared" si="1"/>
        <v>#DIV/0!</v>
      </c>
    </row>
    <row r="14" spans="1:23" x14ac:dyDescent="0.25">
      <c r="A14" t="s">
        <v>103</v>
      </c>
      <c r="D14" s="1"/>
      <c r="E14" s="1"/>
      <c r="F14" s="1"/>
      <c r="G14" s="1">
        <v>100</v>
      </c>
      <c r="H14" s="1">
        <v>5</v>
      </c>
      <c r="I14" s="1">
        <f>'Count-&gt;Actual Activity'!F14</f>
        <v>2.9129030992177456</v>
      </c>
      <c r="J14" s="1">
        <f>'Count-&gt;Actual Activity'!G14</f>
        <v>0.15745067498955981</v>
      </c>
      <c r="K14" s="1"/>
      <c r="L14" s="1"/>
      <c r="M14" s="1"/>
      <c r="N14" s="1"/>
      <c r="O14" s="1"/>
      <c r="P14" s="1"/>
      <c r="Q14" t="e">
        <f t="shared" si="2"/>
        <v>#DIV/0!</v>
      </c>
      <c r="R14" t="e">
        <f t="shared" si="3"/>
        <v>#DIV/0!</v>
      </c>
      <c r="S14">
        <f>B14*Parameters!$B$6</f>
        <v>0</v>
      </c>
      <c r="T14" t="e">
        <f>SQRT((C14/B14)^2+(Parameters!$C$6/Parameters!$B$6)^2)*'Bottle Results'!S14</f>
        <v>#DIV/0!</v>
      </c>
      <c r="U14" t="e">
        <f t="shared" si="0"/>
        <v>#DIV/0!</v>
      </c>
      <c r="W14" t="e">
        <f t="shared" si="1"/>
        <v>#DIV/0!</v>
      </c>
    </row>
    <row r="15" spans="1:23" x14ac:dyDescent="0.25">
      <c r="A15" t="s">
        <v>104</v>
      </c>
      <c r="D15" s="1"/>
      <c r="E15" s="1"/>
      <c r="F15" s="1"/>
      <c r="G15" s="1">
        <v>100</v>
      </c>
      <c r="H15" s="1">
        <v>5</v>
      </c>
      <c r="I15" s="1">
        <f>'Count-&gt;Actual Activity'!F15</f>
        <v>2.8547974106886085</v>
      </c>
      <c r="J15" s="1">
        <f>'Count-&gt;Actual Activity'!G15</f>
        <v>0.15745067498955981</v>
      </c>
      <c r="K15" s="1"/>
      <c r="L15" s="1"/>
      <c r="M15" s="1"/>
      <c r="N15" s="1"/>
      <c r="O15" s="1"/>
      <c r="P15" s="1"/>
      <c r="Q15" t="e">
        <f t="shared" si="2"/>
        <v>#DIV/0!</v>
      </c>
      <c r="R15" t="e">
        <f t="shared" si="3"/>
        <v>#DIV/0!</v>
      </c>
      <c r="S15">
        <f>B15*Parameters!$B$6</f>
        <v>0</v>
      </c>
      <c r="T15" t="e">
        <f>SQRT((C15/B15)^2+(Parameters!$C$6/Parameters!$B$6)^2)*'Bottle Results'!S15</f>
        <v>#DIV/0!</v>
      </c>
      <c r="U15" t="e">
        <f t="shared" si="0"/>
        <v>#DIV/0!</v>
      </c>
      <c r="W15" t="e">
        <f t="shared" si="1"/>
        <v>#DIV/0!</v>
      </c>
    </row>
    <row r="16" spans="1:23" x14ac:dyDescent="0.25">
      <c r="A16" t="s">
        <v>105</v>
      </c>
      <c r="D16" s="1"/>
      <c r="E16" s="1"/>
      <c r="F16" s="1"/>
      <c r="G16" s="1">
        <v>100</v>
      </c>
      <c r="H16" s="1">
        <v>5</v>
      </c>
      <c r="I16" s="1">
        <f>'Count-&gt;Actual Activity'!F16</f>
        <v>3.1543468278091376</v>
      </c>
      <c r="J16" s="1">
        <f>'Count-&gt;Actual Activity'!G16</f>
        <v>0.15745067498955981</v>
      </c>
      <c r="K16" s="1"/>
      <c r="L16" s="1"/>
      <c r="M16" s="1"/>
      <c r="N16" s="1"/>
      <c r="O16" s="1"/>
      <c r="P16" s="1"/>
      <c r="Q16" t="e">
        <f t="shared" si="2"/>
        <v>#DIV/0!</v>
      </c>
      <c r="R16" t="e">
        <f t="shared" si="3"/>
        <v>#DIV/0!</v>
      </c>
      <c r="S16">
        <f>B16*Parameters!$B$6</f>
        <v>0</v>
      </c>
      <c r="T16" t="e">
        <f>SQRT((C16/B16)^2+(Parameters!$C$6/Parameters!$B$6)^2)*'Bottle Results'!S16</f>
        <v>#DIV/0!</v>
      </c>
      <c r="U16" t="e">
        <f t="shared" si="0"/>
        <v>#DIV/0!</v>
      </c>
      <c r="W16" t="e">
        <f t="shared" si="1"/>
        <v>#DIV/0!</v>
      </c>
    </row>
    <row r="17" spans="1:23" x14ac:dyDescent="0.25">
      <c r="A17" t="s">
        <v>106</v>
      </c>
      <c r="G17" s="1">
        <v>100</v>
      </c>
      <c r="H17" s="1">
        <v>5</v>
      </c>
      <c r="I17" s="1">
        <f>'Count-&gt;Actual Activity'!F17</f>
        <v>6.3814677847949675</v>
      </c>
      <c r="J17" s="1">
        <f>'Count-&gt;Actual Activity'!G17</f>
        <v>0.15745067498955981</v>
      </c>
      <c r="K17" s="1"/>
      <c r="L17" s="1"/>
      <c r="Q17" t="e">
        <f t="shared" si="2"/>
        <v>#DIV/0!</v>
      </c>
      <c r="R17" t="e">
        <f t="shared" si="3"/>
        <v>#DIV/0!</v>
      </c>
      <c r="S17">
        <f>B17*Parameters!$B$6</f>
        <v>0</v>
      </c>
      <c r="T17" t="e">
        <f>SQRT((C17/B17)^2+(Parameters!$C$6/Parameters!$B$6)^2)*'Bottle Results'!S17</f>
        <v>#DIV/0!</v>
      </c>
      <c r="U17" t="e">
        <f t="shared" si="0"/>
        <v>#DIV/0!</v>
      </c>
      <c r="W17" t="e">
        <f t="shared" si="1"/>
        <v>#DIV/0!</v>
      </c>
    </row>
    <row r="18" spans="1:23" x14ac:dyDescent="0.25">
      <c r="A18" t="s">
        <v>107</v>
      </c>
      <c r="G18" s="1">
        <v>100</v>
      </c>
      <c r="H18" s="1">
        <v>5</v>
      </c>
      <c r="I18" s="1">
        <f>'Count-&gt;Actual Activity'!F18</f>
        <v>5.7094051864191471</v>
      </c>
      <c r="J18" s="1">
        <f>'Count-&gt;Actual Activity'!G18</f>
        <v>0.15745067498955981</v>
      </c>
      <c r="K18" s="1"/>
      <c r="L18" s="1"/>
      <c r="Q18" t="e">
        <f t="shared" si="2"/>
        <v>#DIV/0!</v>
      </c>
      <c r="R18" t="e">
        <f t="shared" si="3"/>
        <v>#DIV/0!</v>
      </c>
      <c r="S18">
        <f>B18*Parameters!$B$6</f>
        <v>0</v>
      </c>
      <c r="T18" t="e">
        <f>SQRT((C18/B18)^2+(Parameters!$C$6/Parameters!$B$6)^2)*'Bottle Results'!S18</f>
        <v>#DIV/0!</v>
      </c>
      <c r="U18" t="e">
        <f t="shared" si="0"/>
        <v>#DIV/0!</v>
      </c>
      <c r="W18" t="e">
        <f t="shared" si="1"/>
        <v>#DIV/0!</v>
      </c>
    </row>
    <row r="19" spans="1:23" x14ac:dyDescent="0.25">
      <c r="A19" t="s">
        <v>108</v>
      </c>
      <c r="D19" s="1"/>
      <c r="F19" s="1"/>
      <c r="G19" s="1">
        <v>100</v>
      </c>
      <c r="H19" s="1">
        <v>5</v>
      </c>
      <c r="I19" s="1">
        <f>'Count-&gt;Actual Activity'!F19</f>
        <v>6.1758426313242749</v>
      </c>
      <c r="J19" s="1">
        <f>'Count-&gt;Actual Activity'!G19</f>
        <v>0.15745067498955981</v>
      </c>
      <c r="K19" s="1"/>
      <c r="L19" s="1"/>
      <c r="Q19" t="e">
        <f t="shared" si="2"/>
        <v>#DIV/0!</v>
      </c>
      <c r="R19" t="e">
        <f t="shared" si="3"/>
        <v>#DIV/0!</v>
      </c>
      <c r="S19">
        <f>B19*Parameters!$B$6</f>
        <v>0</v>
      </c>
      <c r="T19" t="e">
        <f>SQRT((C19/B19)^2+(Parameters!$C$6/Parameters!$B$6)^2)*'Bottle Results'!S19</f>
        <v>#DIV/0!</v>
      </c>
      <c r="U19" t="e">
        <f t="shared" si="0"/>
        <v>#DIV/0!</v>
      </c>
      <c r="W19" t="e">
        <f t="shared" si="1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J9" sqref="J9"/>
    </sheetView>
  </sheetViews>
  <sheetFormatPr defaultRowHeight="15" x14ac:dyDescent="0.25"/>
  <sheetData>
    <row r="1" spans="1:10" x14ac:dyDescent="0.25">
      <c r="A1" t="s">
        <v>15</v>
      </c>
      <c r="B1" t="s">
        <v>30</v>
      </c>
      <c r="C1" t="s">
        <v>110</v>
      </c>
      <c r="D1" t="s">
        <v>32</v>
      </c>
      <c r="E1" t="s">
        <v>111</v>
      </c>
      <c r="F1" t="s">
        <v>112</v>
      </c>
      <c r="G1" t="s">
        <v>113</v>
      </c>
      <c r="H1" t="s">
        <v>114</v>
      </c>
      <c r="I1" t="s">
        <v>115</v>
      </c>
      <c r="J1" t="s">
        <v>116</v>
      </c>
    </row>
    <row r="2" spans="1:10" x14ac:dyDescent="0.25">
      <c r="A2">
        <v>0</v>
      </c>
      <c r="B2" t="e">
        <f>AVERAGE('Bottle Results'!Q2:Q4)</f>
        <v>#DIV/0!</v>
      </c>
      <c r="C2" t="e">
        <f>_xlfn.STDEV.S('Bottle Results'!Q2:Q4)</f>
        <v>#DIV/0!</v>
      </c>
      <c r="D2" t="e">
        <f>AVERAGE('Bottle Results'!U2:U4)</f>
        <v>#DIV/0!</v>
      </c>
      <c r="E2" t="e">
        <f>_xlfn.STDEV.S('Bottle Results'!U2:U4)</f>
        <v>#DIV/0!</v>
      </c>
      <c r="F2">
        <f>AVERAGE('Bottle Results'!S2:S4)</f>
        <v>0</v>
      </c>
      <c r="G2" t="e">
        <f>AVERAGE('Bottle Results'!W2:W4)</f>
        <v>#DIV/0!</v>
      </c>
      <c r="I2" t="e">
        <f>AVERAGE('Bottle Results'!D2:D4)</f>
        <v>#DIV/0!</v>
      </c>
      <c r="J2" t="e">
        <f>_xlfn.STDEV.S('Bottle Results'!D2:D4)</f>
        <v>#DIV/0!</v>
      </c>
    </row>
    <row r="3" spans="1:10" x14ac:dyDescent="0.25">
      <c r="A3">
        <v>10</v>
      </c>
      <c r="B3" t="e">
        <f>AVERAGE('Bottle Results'!Q5:Q7)</f>
        <v>#DIV/0!</v>
      </c>
      <c r="C3" t="e">
        <f>_xlfn.STDEV.S('Bottle Results'!Q5:Q7)</f>
        <v>#DIV/0!</v>
      </c>
      <c r="D3" t="e">
        <f>AVERAGE('Bottle Results'!U5:U7)</f>
        <v>#DIV/0!</v>
      </c>
      <c r="E3" t="e">
        <f>_xlfn.STDEV.S('Bottle Results'!U5:U7)</f>
        <v>#DIV/0!</v>
      </c>
      <c r="F3">
        <f>AVERAGE('Bottle Results'!S5:S7)</f>
        <v>0</v>
      </c>
      <c r="G3" t="e">
        <f>AVERAGE('Bottle Results'!W5:W7)</f>
        <v>#DIV/0!</v>
      </c>
      <c r="H3" t="e">
        <f>_xlfn.STDEV.S('Bottle Results'!W5:W7)</f>
        <v>#DIV/0!</v>
      </c>
      <c r="I3" t="e">
        <f>AVERAGE('Bottle Results'!D5:D7)</f>
        <v>#DIV/0!</v>
      </c>
      <c r="J3" t="e">
        <f>_xlfn.STDEV.S('Bottle Results'!D5:D7)</f>
        <v>#DIV/0!</v>
      </c>
    </row>
    <row r="4" spans="1:10" x14ac:dyDescent="0.25">
      <c r="A4">
        <v>50</v>
      </c>
      <c r="B4" t="e">
        <f>AVERAGE('Bottle Results'!Q8:Q10)</f>
        <v>#DIV/0!</v>
      </c>
      <c r="C4" t="e">
        <f>_xlfn.STDEV.S('Bottle Results'!Q8:Q10)</f>
        <v>#DIV/0!</v>
      </c>
      <c r="D4" t="e">
        <f>AVERAGE('Bottle Results'!U8:U10)</f>
        <v>#DIV/0!</v>
      </c>
      <c r="E4" t="e">
        <f>_xlfn.STDEV.S('Bottle Results'!U8:U10)</f>
        <v>#DIV/0!</v>
      </c>
      <c r="F4">
        <f>AVERAGE('Bottle Results'!S8:S10)</f>
        <v>0</v>
      </c>
      <c r="G4" t="e">
        <f>AVERAGE('Bottle Results'!W8:W10)</f>
        <v>#DIV/0!</v>
      </c>
      <c r="H4" t="e">
        <f>_xlfn.STDEV.S('Bottle Results'!W8:W10)</f>
        <v>#DIV/0!</v>
      </c>
      <c r="I4" t="e">
        <f>AVERAGE('Bottle Results'!D8:D10)</f>
        <v>#DIV/0!</v>
      </c>
      <c r="J4" t="e">
        <f>_xlfn.STDEV.S('Bottle Results'!D8:D10)</f>
        <v>#DIV/0!</v>
      </c>
    </row>
    <row r="5" spans="1:10" x14ac:dyDescent="0.25">
      <c r="A5">
        <v>100</v>
      </c>
      <c r="B5" t="e">
        <f>AVERAGE('Bottle Results'!Q11:Q13)</f>
        <v>#DIV/0!</v>
      </c>
      <c r="C5" t="e">
        <f>_xlfn.STDEV.S('Bottle Results'!Q11:Q13)</f>
        <v>#DIV/0!</v>
      </c>
      <c r="D5" t="e">
        <f>AVERAGE('Bottle Results'!U11:U13)</f>
        <v>#DIV/0!</v>
      </c>
      <c r="E5" t="e">
        <f>_xlfn.STDEV.S('Bottle Results'!U11:U13)</f>
        <v>#DIV/0!</v>
      </c>
      <c r="F5">
        <f>AVERAGE('Bottle Results'!S11:S13)</f>
        <v>0</v>
      </c>
      <c r="G5" t="e">
        <f>AVERAGE('Bottle Results'!W11:W13)</f>
        <v>#DIV/0!</v>
      </c>
      <c r="H5" t="e">
        <f>_xlfn.STDEV.S('Bottle Results'!W11:W13)</f>
        <v>#DIV/0!</v>
      </c>
      <c r="I5" t="e">
        <f>AVERAGE('Bottle Results'!D11:D13)</f>
        <v>#DIV/0!</v>
      </c>
      <c r="J5" t="e">
        <f>_xlfn.STDEV.S('Bottle Results'!D3:D11)</f>
        <v>#DIV/0!</v>
      </c>
    </row>
    <row r="6" spans="1:10" x14ac:dyDescent="0.25">
      <c r="A6">
        <v>250</v>
      </c>
      <c r="B6" t="e">
        <f>AVERAGE('Bottle Results'!Q14:Q16)</f>
        <v>#DIV/0!</v>
      </c>
      <c r="C6" t="e">
        <f>_xlfn.STDEV.S('Bottle Results'!Q14:Q16)</f>
        <v>#DIV/0!</v>
      </c>
      <c r="D6" t="e">
        <f>AVERAGE('Bottle Results'!U14:U16)</f>
        <v>#DIV/0!</v>
      </c>
      <c r="E6" t="e">
        <f>_xlfn.STDEV.S('Bottle Results'!U14:U16)</f>
        <v>#DIV/0!</v>
      </c>
      <c r="F6">
        <f>AVERAGE('Bottle Results'!S14:S16)</f>
        <v>0</v>
      </c>
      <c r="G6" t="e">
        <f>AVERAGE('Bottle Results'!W14:W16)</f>
        <v>#DIV/0!</v>
      </c>
      <c r="H6" t="e">
        <f>_xlfn.STDEV.S('Bottle Results'!W14:W16)</f>
        <v>#DIV/0!</v>
      </c>
      <c r="I6" t="e">
        <f>AVERAGE('Bottle Results'!D14:D16)</f>
        <v>#DIV/0!</v>
      </c>
      <c r="J6" t="e">
        <f>_xlfn.STDEV.S('Bottle Results'!D14:D16)</f>
        <v>#DIV/0!</v>
      </c>
    </row>
    <row r="7" spans="1:10" x14ac:dyDescent="0.25">
      <c r="A7">
        <v>500</v>
      </c>
      <c r="B7" t="e">
        <f>AVERAGE('Bottle Results'!Q17:Q19)</f>
        <v>#DIV/0!</v>
      </c>
      <c r="C7" t="e">
        <f>_xlfn.STDEV.S('Bottle Results'!Q17:Q19)</f>
        <v>#DIV/0!</v>
      </c>
      <c r="D7" t="e">
        <f>AVERAGE('Bottle Results'!U17:U19)</f>
        <v>#DIV/0!</v>
      </c>
      <c r="E7" t="e">
        <f>_xlfn.STDEV.S('Bottle Results'!U17:U19)</f>
        <v>#DIV/0!</v>
      </c>
      <c r="F7">
        <f>AVERAGE('Bottle Results'!S17:S19)</f>
        <v>0</v>
      </c>
      <c r="G7" t="e">
        <f>AVERAGE('Bottle Results'!W17:W19)</f>
        <v>#DIV/0!</v>
      </c>
      <c r="H7" t="e">
        <f>_xlfn.STDEV.S('Bottle Results'!W17:W19)</f>
        <v>#DIV/0!</v>
      </c>
      <c r="I7" t="e">
        <f>AVERAGE('Bottle Results'!D17:D19)</f>
        <v>#DIV/0!</v>
      </c>
      <c r="J7" t="e">
        <f>_xlfn.STDEV.S('Bottle Results'!D17:D19)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Calibration Data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2017-07-07T13:55:06Z</dcterms:modified>
</cp:coreProperties>
</file>