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GW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K4" i="8"/>
  <c r="K3" i="8"/>
  <c r="K2" i="8"/>
  <c r="H2" i="8"/>
  <c r="B2" i="8"/>
  <c r="B8" i="1"/>
  <c r="P8" i="5" s="1"/>
  <c r="Q8" i="5" s="1"/>
  <c r="B9" i="1"/>
  <c r="P6" i="5"/>
  <c r="P7" i="5"/>
  <c r="Q7" i="5" s="1"/>
  <c r="P9" i="5"/>
  <c r="Q9" i="5" s="1"/>
  <c r="P10" i="5"/>
  <c r="Q10" i="5" s="1"/>
  <c r="P11" i="5"/>
  <c r="Q11" i="5" s="1"/>
  <c r="P12" i="5"/>
  <c r="Q12" i="5" s="1"/>
  <c r="P13" i="5"/>
  <c r="Q13" i="5" s="1"/>
  <c r="P2" i="5"/>
  <c r="K3" i="5"/>
  <c r="K4" i="5"/>
  <c r="K5" i="5"/>
  <c r="K6" i="5"/>
  <c r="K7" i="5"/>
  <c r="K8" i="5"/>
  <c r="K9" i="5"/>
  <c r="K10" i="5"/>
  <c r="K11" i="5"/>
  <c r="K12" i="5"/>
  <c r="K13" i="5"/>
  <c r="K2" i="5"/>
  <c r="J3" i="5"/>
  <c r="J4" i="5"/>
  <c r="J5" i="5"/>
  <c r="J6" i="5"/>
  <c r="J7" i="5"/>
  <c r="J8" i="5"/>
  <c r="J9" i="5"/>
  <c r="J10" i="5"/>
  <c r="J11" i="5"/>
  <c r="J12" i="5"/>
  <c r="J13" i="5"/>
  <c r="J2" i="5"/>
  <c r="G10" i="5"/>
  <c r="G7" i="5"/>
  <c r="G6" i="5"/>
  <c r="G5" i="5"/>
  <c r="F10" i="5"/>
  <c r="F9" i="5"/>
  <c r="G9" i="5" s="1"/>
  <c r="F8" i="5"/>
  <c r="G8" i="5" s="1"/>
  <c r="P5" i="5" l="1"/>
  <c r="Q5" i="5" s="1"/>
  <c r="P4" i="5"/>
  <c r="Q4" i="5" s="1"/>
  <c r="P3" i="5"/>
  <c r="Q3" i="5" s="1"/>
  <c r="Q2" i="5"/>
  <c r="Q6" i="5"/>
  <c r="B13" i="5" l="1"/>
  <c r="B12" i="5"/>
  <c r="B11" i="5"/>
  <c r="B10" i="5"/>
  <c r="B9" i="5"/>
  <c r="B8" i="5"/>
  <c r="B7" i="5"/>
  <c r="B6" i="5"/>
  <c r="B5" i="5"/>
  <c r="B4" i="5"/>
  <c r="B3" i="5"/>
  <c r="B2" i="5"/>
  <c r="C9" i="1"/>
  <c r="C8" i="1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7" i="10"/>
  <c r="I7" i="10" s="1"/>
  <c r="G6" i="10"/>
  <c r="I6" i="10" s="1"/>
  <c r="G5" i="10"/>
  <c r="K5" i="10" s="1"/>
  <c r="K4" i="10"/>
  <c r="I8" i="10"/>
  <c r="K6" i="10"/>
  <c r="G4" i="10"/>
  <c r="K9" i="10"/>
  <c r="K8" i="10"/>
  <c r="H5" i="10"/>
  <c r="I5" i="10" s="1"/>
  <c r="G3" i="10"/>
  <c r="K3" i="10" s="1"/>
  <c r="H4" i="10"/>
  <c r="H3" i="10"/>
  <c r="I4" i="10" l="1"/>
  <c r="K7" i="10"/>
  <c r="K11" i="10" s="1"/>
  <c r="I3" i="10"/>
  <c r="I11" i="10" s="1"/>
  <c r="J5" i="8"/>
  <c r="J4" i="8"/>
  <c r="J3" i="8"/>
  <c r="I5" i="8"/>
  <c r="I4" i="8"/>
  <c r="I3" i="8"/>
  <c r="J2" i="8"/>
  <c r="I2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N10" i="5" l="1"/>
  <c r="F4" i="8"/>
  <c r="F3" i="8"/>
  <c r="F2" i="8"/>
  <c r="F5" i="8"/>
  <c r="N3" i="5"/>
  <c r="R3" i="5" s="1"/>
  <c r="N9" i="5"/>
  <c r="R9" i="5" s="1"/>
  <c r="N8" i="5"/>
  <c r="N7" i="5"/>
  <c r="T7" i="5" s="1"/>
  <c r="N6" i="5"/>
  <c r="R6" i="5" s="1"/>
  <c r="N13" i="5"/>
  <c r="T13" i="5" s="1"/>
  <c r="N5" i="5"/>
  <c r="T5" i="5" s="1"/>
  <c r="N4" i="5"/>
  <c r="R4" i="5" s="1"/>
  <c r="N12" i="5"/>
  <c r="R12" i="5" s="1"/>
  <c r="N11" i="5"/>
  <c r="T11" i="5" s="1"/>
  <c r="T10" i="5" l="1"/>
  <c r="R10" i="5"/>
  <c r="O10" i="5"/>
  <c r="O4" i="5"/>
  <c r="O8" i="5"/>
  <c r="O13" i="5"/>
  <c r="O12" i="5"/>
  <c r="O6" i="5"/>
  <c r="O5" i="5"/>
  <c r="O7" i="5"/>
  <c r="O9" i="5"/>
  <c r="O11" i="5"/>
  <c r="O3" i="5"/>
  <c r="T4" i="5"/>
  <c r="R5" i="5"/>
  <c r="B4" i="8"/>
  <c r="C4" i="8"/>
  <c r="R13" i="5"/>
  <c r="T12" i="5"/>
  <c r="G5" i="8" s="1"/>
  <c r="T3" i="5"/>
  <c r="T6" i="5"/>
  <c r="H3" i="8" s="1"/>
  <c r="R8" i="5"/>
  <c r="T8" i="5"/>
  <c r="C3" i="8"/>
  <c r="B3" i="8"/>
  <c r="T9" i="5"/>
  <c r="R7" i="5"/>
  <c r="C5" i="8"/>
  <c r="B5" i="8"/>
  <c r="R11" i="5"/>
  <c r="N2" i="5"/>
  <c r="O2" i="5" s="1"/>
  <c r="H5" i="8" l="1"/>
  <c r="G3" i="8"/>
  <c r="D3" i="8"/>
  <c r="G4" i="8"/>
  <c r="H4" i="8"/>
  <c r="E3" i="8"/>
  <c r="C2" i="8"/>
  <c r="R2" i="5"/>
  <c r="T2" i="5"/>
  <c r="G2" i="8" s="1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<sst xmlns="http://schemas.openxmlformats.org/spreadsheetml/2006/main" count="244" uniqueCount="132">
  <si>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</si>
  <si>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</si>
  <si>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</si>
  <si>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</si>
  <si>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</si>
  <si>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</si>
  <si>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</si>
  <si>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</si>
  <si>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</si>
  <si>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</si>
  <si>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</si>
  <si>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</si>
  <si>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</si>
  <si>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</si>
  <si>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</si>
  <si>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</si>
  <si>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</si>
  <si>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</si>
  <si>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</si>
  <si>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</si>
  <si>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</si>
  <si>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</si>
  <si>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</si>
  <si>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</si>
  <si>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</si>
  <si>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</si>
  <si>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</si>
  <si>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</si>
  <si>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</si>
  <si>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</si>
  <si>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</si>
  <si>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</si>
  <si>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</si>
  <si>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</si>
  <si>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</si>
  <si>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</si>
  <si>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</si>
  <si>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</si>
  <si>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</si>
  <si>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</si>
  <si>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</si>
  <si>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</si>
  <si>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</si>
  <si>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</si>
  <si>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</si>
  <si>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</si>
  <si>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</si>
  <si>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</si>
  <si>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</si>
  <si>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</si>
  <si>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</si>
  <si>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</si>
  <si>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</si>
  <si>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</si>
  <si>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</si>
  <si>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</si>
  <si>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</si>
  <si>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</si>
  <si>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</si>
  <si>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</si>
  <si>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</si>
  <si>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</si>
  <si>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</si>
  <si>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</si>
  <si>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</si>
  <si>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</si>
  <si>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</si>
  <si>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</si>
  <si>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</si>
  <si>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</si>
  <si>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</si>
  <si>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</si>
  <si>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</si>
  <si>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</si>
  <si>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</si>
  <si>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</si>
  <si>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</si>
  <si>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</si>
  <si>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</si>
  <si>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</si>
  <si>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</si>
  <si>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</si>
  <si>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</si>
  <si>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</si>
  <si>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</si>
  <si>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</si>
  <si>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</si>
  <si>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</si>
  <si>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</si>
  <si>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</si>
  <si>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</si>
  <si>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</si>
  <si>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</si>
  <si>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</si>
  <si>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</si>
  <si>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</si>
  <si>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</si>
  <si>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</si>
  <si>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</si>
  <si>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</si>
  <si>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</si>
  <si>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</si>
  <si>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</si>
  <si>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</si>
  <si>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</si>
  <si>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RaGlassAGW_1A</t>
  </si>
  <si>
    <t>RaGlassAGW_1B</t>
  </si>
  <si>
    <t>RaGlassAGW_1C</t>
  </si>
  <si>
    <t>RaMontAGW_1A</t>
  </si>
  <si>
    <t>RaMontAGW_1B</t>
  </si>
  <si>
    <t>RaMontAGW_1C</t>
  </si>
  <si>
    <t>RaFHYAGW_1A</t>
  </si>
  <si>
    <t>RaFHYAGW_1B</t>
  </si>
  <si>
    <t>RaFHYAGW_1C</t>
  </si>
  <si>
    <t>RaGOEAGW_1A</t>
  </si>
  <si>
    <t>RaGOEAGW_1B</t>
  </si>
  <si>
    <t>RaGOWAGW_1C</t>
  </si>
  <si>
    <t>Initial Stock</t>
  </si>
  <si>
    <t>Final Stock</t>
  </si>
  <si>
    <t>Initial measurement of Ra in AGW stock</t>
  </si>
  <si>
    <t>AGW Initial Stock</t>
  </si>
  <si>
    <t>AGW Final Stock</t>
  </si>
  <si>
    <t>Final measurement of Ra in AGW</t>
  </si>
  <si>
    <t>RaGlassAGW_1A (5mL)</t>
  </si>
  <si>
    <t>FHY Slurry</t>
  </si>
  <si>
    <t>g/L FHY</t>
  </si>
  <si>
    <t>Slurry Amount (mL)</t>
  </si>
  <si>
    <t>Count</t>
  </si>
  <si>
    <t>RaGlassAGW_1</t>
  </si>
  <si>
    <t>RaMontAGW_1</t>
  </si>
  <si>
    <t>RaFHYAGW_1</t>
  </si>
  <si>
    <t>RaGOEAGW_1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</si>
</sst>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9016"/>
        <c:axId val="219121760"/>
      </c:scatterChart>
      <c:valAx>
        <c:axId val="21911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21760"/>
        <c:crosses val="autoZero"/>
        <c:crossBetween val="midCat"/>
      </c:valAx>
      <c:valAx>
        <c:axId val="21912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8232"/>
        <c:axId val="219122936"/>
      </c:scatterChart>
      <c:valAx>
        <c:axId val="21911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22936"/>
        <c:crosses val="autoZero"/>
        <c:crossBetween val="midCat"/>
      </c:valAx>
      <c:valAx>
        <c:axId val="21912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8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42892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117</v>
      </c>
      <c r="B8">
        <f>'Count-&gt;Actual Activity'!F2/10</f>
        <v>0.64450125902868771</v>
      </c>
      <c r="C8">
        <f>'Count-&gt;Actual Activity'!G2</f>
        <v>0.15745067498955981</v>
      </c>
      <c r="D8" t="s">
        <v>20</v>
      </c>
      <c r="E8" t="s">
        <v>119</v>
      </c>
    </row>
    <row r="9" spans="1:5" x14ac:dyDescent="0.25">
      <c r="A9" t="s">
        <v>118</v>
      </c>
      <c r="B9">
        <f>'Count-&gt;Actual Activity'!F10/10</f>
        <v>0.63727121330987957</v>
      </c>
      <c r="C9">
        <f>'Count-&gt;Actual Activity'!G10</f>
        <v>0.15745067498955981</v>
      </c>
      <c r="D9" t="s">
        <v>20</v>
      </c>
      <c r="E9" t="s">
        <v>122</v>
      </c>
    </row>
    <row r="10" spans="1:5" x14ac:dyDescent="0.25">
      <c r="A10" t="s">
        <v>124</v>
      </c>
      <c r="B10">
        <v>32.102209408675648</v>
      </c>
      <c r="C10">
        <v>0.2103500515048406</v>
      </c>
      <c r="D1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8" sqref="B18:B23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7" bestFit="1" customWidth="1"/>
    <col min="4" max="4" width="7.28515625" bestFit="1" customWidth="1"/>
    <col min="5" max="5" width="8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42921.402777777781</v>
      </c>
      <c r="B2" t="s">
        <v>120</v>
      </c>
      <c r="C2">
        <v>2461.6999999999998</v>
      </c>
      <c r="D2">
        <v>1.27</v>
      </c>
      <c r="E2">
        <v>0</v>
      </c>
      <c r="F2">
        <v>43.16</v>
      </c>
    </row>
    <row r="3" spans="1:6" x14ac:dyDescent="0.25">
      <c r="A3" s="16">
        <v>42921.402777777781</v>
      </c>
      <c r="B3" t="s">
        <v>105</v>
      </c>
      <c r="C3">
        <v>2318.1999999999998</v>
      </c>
      <c r="D3">
        <v>1.31</v>
      </c>
      <c r="E3">
        <v>0</v>
      </c>
      <c r="F3">
        <v>53.78</v>
      </c>
    </row>
    <row r="4" spans="1:6" x14ac:dyDescent="0.25">
      <c r="A4" s="16">
        <v>42921.402777777781</v>
      </c>
      <c r="B4" t="s">
        <v>123</v>
      </c>
      <c r="C4">
        <v>1178</v>
      </c>
      <c r="D4">
        <v>1.84</v>
      </c>
      <c r="E4">
        <v>0.02</v>
      </c>
      <c r="F4">
        <v>64.41</v>
      </c>
    </row>
    <row r="5" spans="1:6" x14ac:dyDescent="0.25">
      <c r="A5" s="16">
        <v>42921.402777777781</v>
      </c>
      <c r="B5" t="s">
        <v>106</v>
      </c>
      <c r="C5">
        <v>2347.3000000000002</v>
      </c>
      <c r="D5">
        <v>1.31</v>
      </c>
      <c r="E5">
        <v>0</v>
      </c>
      <c r="F5">
        <v>75.05</v>
      </c>
    </row>
    <row r="6" spans="1:6" x14ac:dyDescent="0.25">
      <c r="A6" s="16">
        <v>42921.402777777781</v>
      </c>
      <c r="B6" t="s">
        <v>107</v>
      </c>
      <c r="C6">
        <v>2369.3000000000002</v>
      </c>
      <c r="D6">
        <v>1.3</v>
      </c>
      <c r="E6">
        <v>0</v>
      </c>
      <c r="F6">
        <v>85.66</v>
      </c>
    </row>
    <row r="7" spans="1:6" x14ac:dyDescent="0.25">
      <c r="A7" s="16">
        <v>42921.402777777781</v>
      </c>
      <c r="B7" t="s">
        <v>108</v>
      </c>
      <c r="C7">
        <v>1754.5</v>
      </c>
      <c r="D7">
        <v>1.51</v>
      </c>
      <c r="E7">
        <v>0.01</v>
      </c>
      <c r="F7">
        <v>96.29</v>
      </c>
    </row>
    <row r="8" spans="1:6" x14ac:dyDescent="0.25">
      <c r="A8" s="16">
        <v>42921.402777777781</v>
      </c>
      <c r="B8" t="s">
        <v>109</v>
      </c>
      <c r="C8">
        <v>1732.8</v>
      </c>
      <c r="D8">
        <v>1.52</v>
      </c>
      <c r="E8">
        <v>0.01</v>
      </c>
      <c r="F8">
        <v>106.91</v>
      </c>
    </row>
    <row r="9" spans="1:6" x14ac:dyDescent="0.25">
      <c r="A9" s="16">
        <v>42921.402777777781</v>
      </c>
      <c r="B9" t="s">
        <v>110</v>
      </c>
      <c r="C9">
        <v>1720.2</v>
      </c>
      <c r="D9">
        <v>1.52</v>
      </c>
      <c r="E9">
        <v>0.01</v>
      </c>
      <c r="F9">
        <v>117.54</v>
      </c>
    </row>
    <row r="10" spans="1:6" x14ac:dyDescent="0.25">
      <c r="A10" s="16">
        <v>42921.402777777781</v>
      </c>
      <c r="B10" t="s">
        <v>121</v>
      </c>
      <c r="C10">
        <v>2444.6</v>
      </c>
      <c r="D10">
        <v>1.28</v>
      </c>
      <c r="E10">
        <v>0.01</v>
      </c>
      <c r="F10">
        <v>128.18</v>
      </c>
    </row>
    <row r="11" spans="1:6" x14ac:dyDescent="0.25">
      <c r="A11" s="16">
        <v>42921.402777777781</v>
      </c>
      <c r="B11" t="s">
        <v>111</v>
      </c>
      <c r="C11">
        <v>1934.3</v>
      </c>
      <c r="D11">
        <v>1.44</v>
      </c>
      <c r="E11">
        <v>0.01</v>
      </c>
      <c r="F11">
        <v>138.91999999999999</v>
      </c>
    </row>
    <row r="12" spans="1:6" x14ac:dyDescent="0.25">
      <c r="A12" s="16">
        <v>42921.402777777781</v>
      </c>
      <c r="B12" t="s">
        <v>112</v>
      </c>
      <c r="C12">
        <v>1990.6</v>
      </c>
      <c r="D12">
        <v>1.42</v>
      </c>
      <c r="E12">
        <v>0</v>
      </c>
      <c r="F12">
        <v>149.56</v>
      </c>
    </row>
    <row r="13" spans="1:6" x14ac:dyDescent="0.25">
      <c r="A13" s="16">
        <v>42921.402777777781</v>
      </c>
      <c r="B13" t="s">
        <v>113</v>
      </c>
      <c r="C13">
        <v>1961.6</v>
      </c>
      <c r="D13">
        <v>1.43</v>
      </c>
      <c r="E13">
        <v>0.01</v>
      </c>
      <c r="F13">
        <v>160.19</v>
      </c>
    </row>
    <row r="14" spans="1:6" x14ac:dyDescent="0.25">
      <c r="A14" s="16">
        <v>42921.402777777781</v>
      </c>
      <c r="B14" t="s">
        <v>114</v>
      </c>
      <c r="C14">
        <v>2143.1</v>
      </c>
      <c r="D14">
        <v>1.37</v>
      </c>
      <c r="E14">
        <v>0.01</v>
      </c>
      <c r="F14">
        <v>170.83</v>
      </c>
    </row>
    <row r="15" spans="1:6" x14ac:dyDescent="0.25">
      <c r="A15" s="16">
        <v>42921.402777777781</v>
      </c>
      <c r="B15" t="s">
        <v>115</v>
      </c>
      <c r="C15">
        <v>2157.3000000000002</v>
      </c>
      <c r="D15">
        <v>1.36</v>
      </c>
      <c r="E15">
        <v>0</v>
      </c>
      <c r="F15">
        <v>181.46</v>
      </c>
    </row>
    <row r="16" spans="1:6" x14ac:dyDescent="0.25">
      <c r="A16" s="16">
        <v>42921.402777777781</v>
      </c>
      <c r="B16" t="s">
        <v>116</v>
      </c>
      <c r="C16">
        <v>2194.5</v>
      </c>
      <c r="D16">
        <v>1.35</v>
      </c>
      <c r="E16">
        <v>0.01</v>
      </c>
      <c r="F16">
        <v>192.11</v>
      </c>
    </row>
    <row r="17" spans="1:6" x14ac:dyDescent="0.25">
      <c r="A17" s="16">
        <v>42922.615277777775</v>
      </c>
      <c r="B17" t="s">
        <v>120</v>
      </c>
      <c r="C17">
        <v>2426.4</v>
      </c>
      <c r="D17">
        <v>1.28</v>
      </c>
      <c r="E17">
        <v>0</v>
      </c>
      <c r="F17">
        <v>42.97</v>
      </c>
    </row>
    <row r="18" spans="1:6" x14ac:dyDescent="0.25">
      <c r="A18" s="16">
        <v>42922.615277777775</v>
      </c>
      <c r="B18" t="s">
        <v>105</v>
      </c>
      <c r="C18">
        <v>2279.8000000000002</v>
      </c>
      <c r="D18">
        <v>1.32</v>
      </c>
      <c r="E18">
        <v>0.01</v>
      </c>
      <c r="F18">
        <v>53.6</v>
      </c>
    </row>
    <row r="19" spans="1:6" x14ac:dyDescent="0.25">
      <c r="A19" s="16">
        <v>42922.615277777775</v>
      </c>
      <c r="B19" t="s">
        <v>123</v>
      </c>
      <c r="C19">
        <v>1218.4000000000001</v>
      </c>
      <c r="D19">
        <v>1.81</v>
      </c>
      <c r="E19">
        <v>0.02</v>
      </c>
      <c r="F19">
        <v>64.23</v>
      </c>
    </row>
    <row r="20" spans="1:6" x14ac:dyDescent="0.25">
      <c r="A20" s="16">
        <v>42922.615277777775</v>
      </c>
      <c r="B20" t="s">
        <v>106</v>
      </c>
      <c r="C20">
        <v>2274.5</v>
      </c>
      <c r="D20">
        <v>1.33</v>
      </c>
      <c r="E20">
        <v>0.01</v>
      </c>
      <c r="F20">
        <v>74.86</v>
      </c>
    </row>
    <row r="21" spans="1:6" x14ac:dyDescent="0.25">
      <c r="A21" s="16">
        <v>42922.615277777775</v>
      </c>
      <c r="B21" t="s">
        <v>107</v>
      </c>
      <c r="C21">
        <v>2299.1</v>
      </c>
      <c r="D21">
        <v>1.32</v>
      </c>
      <c r="E21">
        <v>0.01</v>
      </c>
      <c r="F21">
        <v>85.48</v>
      </c>
    </row>
    <row r="22" spans="1:6" x14ac:dyDescent="0.25">
      <c r="A22" s="16">
        <v>42922.615277777775</v>
      </c>
      <c r="B22" t="s">
        <v>108</v>
      </c>
      <c r="C22">
        <v>1684.7</v>
      </c>
      <c r="D22">
        <v>1.54</v>
      </c>
      <c r="E22">
        <v>0.01</v>
      </c>
      <c r="F22">
        <v>96.11</v>
      </c>
    </row>
    <row r="23" spans="1:6" x14ac:dyDescent="0.25">
      <c r="A23" s="16">
        <v>42922.615277777775</v>
      </c>
      <c r="B23" t="s">
        <v>109</v>
      </c>
      <c r="C23">
        <v>1722.9</v>
      </c>
      <c r="D23">
        <v>1.52</v>
      </c>
      <c r="E23">
        <v>0.01</v>
      </c>
      <c r="F23">
        <v>106.75</v>
      </c>
    </row>
    <row r="24" spans="1:6" x14ac:dyDescent="0.25">
      <c r="A24" s="16">
        <v>42922.615277777775</v>
      </c>
      <c r="B24" t="s">
        <v>110</v>
      </c>
      <c r="C24">
        <v>1684.7</v>
      </c>
      <c r="D24">
        <v>1.54</v>
      </c>
      <c r="E24">
        <v>0.01</v>
      </c>
      <c r="F24">
        <v>117.36</v>
      </c>
    </row>
    <row r="25" spans="1:6" x14ac:dyDescent="0.25">
      <c r="A25" s="16">
        <v>42922.615277777775</v>
      </c>
      <c r="B25" t="s">
        <v>121</v>
      </c>
      <c r="C25">
        <v>2389</v>
      </c>
      <c r="D25">
        <v>1.29</v>
      </c>
      <c r="E25">
        <v>0.01</v>
      </c>
      <c r="F25">
        <v>128</v>
      </c>
    </row>
    <row r="26" spans="1:6" x14ac:dyDescent="0.25">
      <c r="A26" s="16">
        <v>42922.615277777775</v>
      </c>
      <c r="B26" t="s">
        <v>111</v>
      </c>
      <c r="C26">
        <v>1913.4</v>
      </c>
      <c r="D26">
        <v>1.45</v>
      </c>
      <c r="E26">
        <v>0.02</v>
      </c>
      <c r="F26">
        <v>138.76</v>
      </c>
    </row>
    <row r="27" spans="1:6" x14ac:dyDescent="0.25">
      <c r="A27" s="16">
        <v>42922.615277777775</v>
      </c>
      <c r="B27" t="s">
        <v>112</v>
      </c>
      <c r="C27">
        <v>1953.6</v>
      </c>
      <c r="D27">
        <v>1.43</v>
      </c>
      <c r="E27">
        <v>0.01</v>
      </c>
      <c r="F27">
        <v>149.38</v>
      </c>
    </row>
    <row r="28" spans="1:6" x14ac:dyDescent="0.25">
      <c r="A28" s="16">
        <v>42922.615277777775</v>
      </c>
      <c r="B28" t="s">
        <v>113</v>
      </c>
      <c r="C28">
        <v>1946.8</v>
      </c>
      <c r="D28">
        <v>1.43</v>
      </c>
      <c r="E28">
        <v>0.01</v>
      </c>
      <c r="F28">
        <v>160.01</v>
      </c>
    </row>
    <row r="29" spans="1:6" x14ac:dyDescent="0.25">
      <c r="A29" s="16">
        <v>42922.615277777775</v>
      </c>
      <c r="B29" t="s">
        <v>114</v>
      </c>
      <c r="C29">
        <v>2124.6</v>
      </c>
      <c r="D29">
        <v>1.37</v>
      </c>
      <c r="E29">
        <v>0</v>
      </c>
      <c r="F29">
        <v>170.65</v>
      </c>
    </row>
    <row r="30" spans="1:6" x14ac:dyDescent="0.25">
      <c r="A30" s="16">
        <v>42922.615277777775</v>
      </c>
      <c r="B30" t="s">
        <v>115</v>
      </c>
      <c r="C30">
        <v>2161.3000000000002</v>
      </c>
      <c r="D30">
        <v>1.36</v>
      </c>
      <c r="E30">
        <v>0</v>
      </c>
      <c r="F30">
        <v>181.28</v>
      </c>
    </row>
    <row r="31" spans="1:6" x14ac:dyDescent="0.25">
      <c r="A31" s="16">
        <v>42922.615277777775</v>
      </c>
      <c r="B31" t="s">
        <v>116</v>
      </c>
      <c r="C31">
        <v>2161.5</v>
      </c>
      <c r="D31">
        <v>1.36</v>
      </c>
      <c r="E31">
        <v>0.01</v>
      </c>
      <c r="F31">
        <v>191.92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0" sqref="D20"/>
    </sheetView>
  </sheetViews>
  <sheetFormatPr defaultRowHeight="15" x14ac:dyDescent="0.25"/>
  <cols>
    <col min="1" max="1" width="21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120</v>
      </c>
      <c r="B2" s="14" t="s">
        <v>85</v>
      </c>
      <c r="C2">
        <v>40.734166666666667</v>
      </c>
      <c r="D2">
        <v>0.51936062500000002</v>
      </c>
      <c r="E2" s="1" t="s">
        <v>45</v>
      </c>
      <c r="F2" s="1">
        <f>C2*'Calibration Data'!$B$31+'Calibration Data'!$B$30</f>
        <v>6.4450125902868773</v>
      </c>
      <c r="G2" s="15">
        <f>'Calibration Data'!$B$20</f>
        <v>0.15745067498955981</v>
      </c>
    </row>
    <row r="3" spans="1:7" x14ac:dyDescent="0.25">
      <c r="A3" t="s">
        <v>105</v>
      </c>
      <c r="B3" s="14" t="s">
        <v>85</v>
      </c>
      <c r="C3">
        <v>38.316666666666663</v>
      </c>
      <c r="D3">
        <v>0.50386416666666667</v>
      </c>
      <c r="E3" s="1" t="s">
        <v>45</v>
      </c>
      <c r="F3" s="1">
        <f>C3*'Calibration Data'!$B$31+'Calibration Data'!$B$30</f>
        <v>6.0601618998233446</v>
      </c>
      <c r="G3" s="15">
        <f>'Calibration Data'!$B$20</f>
        <v>0.15745067498955981</v>
      </c>
    </row>
    <row r="4" spans="1:7" x14ac:dyDescent="0.25">
      <c r="A4" t="s">
        <v>123</v>
      </c>
      <c r="B4" s="14" t="s">
        <v>85</v>
      </c>
      <c r="C4">
        <v>19.97</v>
      </c>
      <c r="D4">
        <v>0.36445250000000001</v>
      </c>
      <c r="E4" s="1" t="s">
        <v>45</v>
      </c>
      <c r="F4" s="1">
        <f>C4*'Calibration Data'!$B$31+'Calibration Data'!$B$30</f>
        <v>3.1394887522035133</v>
      </c>
      <c r="G4" s="15">
        <f>'Calibration Data'!$B$20</f>
        <v>0.15745067498955981</v>
      </c>
    </row>
    <row r="5" spans="1:7" x14ac:dyDescent="0.25">
      <c r="A5" t="s">
        <v>106</v>
      </c>
      <c r="B5" s="14" t="s">
        <v>85</v>
      </c>
      <c r="C5">
        <v>38.515000000000001</v>
      </c>
      <c r="D5">
        <v>0.50839800000000002</v>
      </c>
      <c r="E5" s="1" t="s">
        <v>45</v>
      </c>
      <c r="F5" s="1">
        <f>C5*'Calibration Data'!$B$31+'Calibration Data'!$B$30</f>
        <v>6.0917353104852969</v>
      </c>
      <c r="G5" s="15">
        <f>'Calibration Data'!$B$20</f>
        <v>0.15745067498955981</v>
      </c>
    </row>
    <row r="6" spans="1:7" x14ac:dyDescent="0.25">
      <c r="A6" t="s">
        <v>107</v>
      </c>
      <c r="B6" s="14" t="s">
        <v>85</v>
      </c>
      <c r="C6">
        <v>38.903333333333343</v>
      </c>
      <c r="D6">
        <v>0.50963366666666676</v>
      </c>
      <c r="E6" s="1" t="s">
        <v>45</v>
      </c>
      <c r="F6" s="1">
        <f>C6*'Calibration Data'!$B$31+'Calibration Data'!$B$30</f>
        <v>6.1535555179158417</v>
      </c>
      <c r="G6" s="15">
        <f>'Calibration Data'!$B$20</f>
        <v>0.15745067498955981</v>
      </c>
    </row>
    <row r="7" spans="1:7" x14ac:dyDescent="0.25">
      <c r="A7" t="s">
        <v>108</v>
      </c>
      <c r="B7" s="14" t="s">
        <v>85</v>
      </c>
      <c r="C7">
        <v>28.66</v>
      </c>
      <c r="D7">
        <v>0.43706499999999998</v>
      </c>
      <c r="E7" s="1" t="s">
        <v>45</v>
      </c>
      <c r="F7" s="1">
        <f>C7*'Calibration Data'!$B$31+'Calibration Data'!$B$30</f>
        <v>4.5228817201985905</v>
      </c>
      <c r="G7" s="15">
        <f>'Calibration Data'!$B$20</f>
        <v>0.15745067498955981</v>
      </c>
    </row>
    <row r="8" spans="1:7" ht="15.75" customHeight="1" x14ac:dyDescent="0.25">
      <c r="A8" t="s">
        <v>109</v>
      </c>
      <c r="B8" s="14" t="s">
        <v>85</v>
      </c>
      <c r="C8">
        <v>28.797499999999999</v>
      </c>
      <c r="D8">
        <v>0.437722</v>
      </c>
      <c r="E8" s="1" t="s">
        <v>45</v>
      </c>
      <c r="F8" s="1">
        <f>C8*'Calibration Data'!$B$31+'Calibration Data'!$B$30</f>
        <v>4.5447708494390184</v>
      </c>
      <c r="G8" s="15">
        <f>'Calibration Data'!$B$20</f>
        <v>0.15745067498955981</v>
      </c>
    </row>
    <row r="9" spans="1:7" x14ac:dyDescent="0.25">
      <c r="A9" t="s">
        <v>110</v>
      </c>
      <c r="B9" s="14" t="s">
        <v>85</v>
      </c>
      <c r="C9">
        <v>28.374166666666671</v>
      </c>
      <c r="D9">
        <v>0.43412475000000011</v>
      </c>
      <c r="E9" s="1" t="s">
        <v>45</v>
      </c>
      <c r="F9" s="1">
        <f>C9*'Calibration Data'!$B$31+'Calibration Data'!$B$30</f>
        <v>4.4773788636563667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85</v>
      </c>
      <c r="C10">
        <v>40.28</v>
      </c>
      <c r="D10">
        <v>0.517598</v>
      </c>
      <c r="E10" s="1" t="s">
        <v>45</v>
      </c>
      <c r="F10" s="1">
        <f>C10*'Calibration Data'!$B$31+'Calibration Data'!$B$30</f>
        <v>6.3727121330987959</v>
      </c>
      <c r="G10" s="15">
        <f>'Calibration Data'!$B$20</f>
        <v>0.15745067498955981</v>
      </c>
    </row>
    <row r="11" spans="1:7" x14ac:dyDescent="0.25">
      <c r="A11" t="s">
        <v>111</v>
      </c>
      <c r="B11" s="14" t="s">
        <v>85</v>
      </c>
      <c r="C11">
        <v>32.064166666666672</v>
      </c>
      <c r="D11">
        <v>0.4633272083333333</v>
      </c>
      <c r="E11" s="1" t="s">
        <v>45</v>
      </c>
      <c r="F11" s="1">
        <f>C11*'Calibration Data'!$B$31+'Calibration Data'!$B$30</f>
        <v>5.0648034956358643</v>
      </c>
      <c r="G11" s="15">
        <f>'Calibration Data'!$B$20</f>
        <v>0.15745067498955981</v>
      </c>
    </row>
    <row r="12" spans="1:7" x14ac:dyDescent="0.25">
      <c r="A12" t="s">
        <v>112</v>
      </c>
      <c r="B12" s="14" t="s">
        <v>85</v>
      </c>
      <c r="C12">
        <v>32.868333333333332</v>
      </c>
      <c r="D12">
        <v>0.46837374999999992</v>
      </c>
      <c r="E12" s="1" t="s">
        <v>45</v>
      </c>
      <c r="F12" s="1">
        <f>C12*'Calibration Data'!$B$31+'Calibration Data'!$B$30</f>
        <v>5.192821736345036</v>
      </c>
      <c r="G12" s="15">
        <f>'Calibration Data'!$B$20</f>
        <v>0.15745067498955981</v>
      </c>
    </row>
    <row r="13" spans="1:7" x14ac:dyDescent="0.25">
      <c r="A13" t="s">
        <v>113</v>
      </c>
      <c r="B13" s="14" t="s">
        <v>85</v>
      </c>
      <c r="C13">
        <v>32.57</v>
      </c>
      <c r="D13">
        <v>0.46575100000000003</v>
      </c>
      <c r="E13" s="1" t="s">
        <v>45</v>
      </c>
      <c r="F13" s="1">
        <f>C13*'Calibration Data'!$B$31+'Calibration Data'!$B$30</f>
        <v>5.1453289589627733</v>
      </c>
      <c r="G13" s="15">
        <f>'Calibration Data'!$B$20</f>
        <v>0.15745067498955981</v>
      </c>
    </row>
    <row r="14" spans="1:7" x14ac:dyDescent="0.25">
      <c r="A14" t="s">
        <v>114</v>
      </c>
      <c r="B14" s="14" t="s">
        <v>85</v>
      </c>
      <c r="C14">
        <v>35.564166666666672</v>
      </c>
      <c r="D14">
        <v>0.48722908333333331</v>
      </c>
      <c r="E14" s="1" t="s">
        <v>45</v>
      </c>
      <c r="F14" s="1">
        <f>C14*'Calibration Data'!$B$31+'Calibration Data'!$B$30</f>
        <v>5.6219813308467694</v>
      </c>
      <c r="G14" s="15">
        <f>'Calibration Data'!$B$20</f>
        <v>0.15745067498955981</v>
      </c>
    </row>
    <row r="15" spans="1:7" x14ac:dyDescent="0.25">
      <c r="A15" t="s">
        <v>115</v>
      </c>
      <c r="B15" s="14" t="s">
        <v>85</v>
      </c>
      <c r="C15">
        <v>35.988333333333337</v>
      </c>
      <c r="D15">
        <v>0.48944133333333339</v>
      </c>
      <c r="E15" s="1" t="s">
        <v>45</v>
      </c>
      <c r="F15" s="1">
        <f>C15*'Calibration Data'!$B$31+'Calibration Data'!$B$30</f>
        <v>5.689505978018758</v>
      </c>
      <c r="G15" s="15">
        <f>'Calibration Data'!$B$20</f>
        <v>0.15745067498955981</v>
      </c>
    </row>
    <row r="16" spans="1:7" x14ac:dyDescent="0.25">
      <c r="A16" t="s">
        <v>116</v>
      </c>
      <c r="B16" s="14" t="s">
        <v>85</v>
      </c>
      <c r="C16">
        <v>36.299999999999997</v>
      </c>
      <c r="D16">
        <v>0.491865</v>
      </c>
      <c r="E16" s="1" t="s">
        <v>45</v>
      </c>
      <c r="F16" s="1">
        <f>C16*'Calibration Data'!$B$31+'Calibration Data'!$B$30</f>
        <v>5.7391213376303947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2" sqref="J2:J13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3.8554687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105</v>
      </c>
      <c r="B2">
        <f>100</f>
        <v>100</v>
      </c>
      <c r="C2">
        <v>0.08</v>
      </c>
      <c r="D2" s="1">
        <v>7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VLOOKUP(A2,'Count-&gt;Actual Activity'!$A$2:$G$16,6)</f>
        <v>6.0601618998233446</v>
      </c>
      <c r="K2" s="1">
        <f>VLOOKUP(A2,'Count-&gt;Actual Activity'!$A$2:$G$16,7)</f>
        <v>0.15745067498955981</v>
      </c>
      <c r="L2" s="1">
        <v>10</v>
      </c>
      <c r="M2" s="1">
        <v>0.01</v>
      </c>
      <c r="N2">
        <f>J2/L2</f>
        <v>0.60601618998233442</v>
      </c>
      <c r="O2">
        <f>SQRT((M2/L2)^2+(K2/J2)^2)*N2</f>
        <v>1.5756725743922836E-2</v>
      </c>
      <c r="P2">
        <f>B2*AVERAGE(Parameters!$B$8:$B$9)</f>
        <v>64.088623616928359</v>
      </c>
      <c r="Q2">
        <f>SQRT((C2/B2)^2+(_xlfn.STDEV.S(Parameters!$B$8:$B$9)/AVERAGE(Parameters!$B$8:$B$9))^2)*'Bottle Results'!P2</f>
        <v>0.51380590747249255</v>
      </c>
      <c r="R2" t="e">
        <f>(P2-N2*H2)/F2</f>
        <v>#DIV/0!</v>
      </c>
      <c r="T2">
        <f>(P2-N2*H2)/P2</f>
        <v>5.4409104485337416E-2</v>
      </c>
    </row>
    <row r="3" spans="1:20" x14ac:dyDescent="0.25">
      <c r="A3" t="s">
        <v>106</v>
      </c>
      <c r="B3">
        <f>100</f>
        <v>100</v>
      </c>
      <c r="C3">
        <v>0.08</v>
      </c>
      <c r="D3" s="1">
        <v>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VLOOKUP(A3,'Count-&gt;Actual Activity'!$A$2:$G$16,6)</f>
        <v>6.0917353104852969</v>
      </c>
      <c r="K3" s="1">
        <f>VLOOKUP(A3,'Count-&gt;Actual Activity'!$A$2:$G$16,7)</f>
        <v>0.15745067498955981</v>
      </c>
      <c r="L3" s="1">
        <v>10</v>
      </c>
      <c r="M3" s="1">
        <v>0.01</v>
      </c>
      <c r="N3">
        <f>J3/L3</f>
        <v>0.60917353104852967</v>
      </c>
      <c r="O3">
        <f>SQRT((M3/L3)^2+(K3/J3)^2)*N3</f>
        <v>1.5756847493633049E-2</v>
      </c>
      <c r="P3">
        <f>B3*AVERAGE(Parameters!$B$8:$B$9)</f>
        <v>64.088623616928359</v>
      </c>
      <c r="Q3">
        <f>SQRT((C3/B3)^2+(_xlfn.STDEV.S(Parameters!$B$8:$B$9)/AVERAGE(Parameters!$B$8:$B$9))^2)*'Bottle Results'!P3</f>
        <v>0.51380590747249255</v>
      </c>
      <c r="R3" t="e">
        <f>(P3-N3*H3)/F3</f>
        <v>#DIV/0!</v>
      </c>
      <c r="T3">
        <f>(P3-N3*H3)/P3</f>
        <v>4.9482581043256112E-2</v>
      </c>
    </row>
    <row r="4" spans="1:20" x14ac:dyDescent="0.25">
      <c r="A4" t="s">
        <v>107</v>
      </c>
      <c r="B4">
        <f>100</f>
        <v>100</v>
      </c>
      <c r="C4">
        <v>0.08</v>
      </c>
      <c r="D4" s="1">
        <v>6.99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VLOOKUP(A4,'Count-&gt;Actual Activity'!$A$2:$G$16,6)</f>
        <v>6.1535555179158417</v>
      </c>
      <c r="K4" s="1">
        <f>VLOOKUP(A4,'Count-&gt;Actual Activity'!$A$2:$G$16,7)</f>
        <v>0.15745067498955981</v>
      </c>
      <c r="L4" s="1">
        <v>10</v>
      </c>
      <c r="M4" s="1">
        <v>0.01</v>
      </c>
      <c r="N4">
        <f>J4/L4</f>
        <v>0.61535555179158419</v>
      </c>
      <c r="O4">
        <f>SQRT((M4/L4)^2+(K4/J4)^2)*N4</f>
        <v>1.5757087706863876E-2</v>
      </c>
      <c r="P4">
        <f>B4*AVERAGE(Parameters!$B$8:$B$9)</f>
        <v>64.088623616928359</v>
      </c>
      <c r="Q4">
        <f>SQRT((C4/B4)^2+(_xlfn.STDEV.S(Parameters!$B$8:$B$9)/AVERAGE(Parameters!$B$8:$B$9))^2)*'Bottle Results'!P4</f>
        <v>0.51380590747249255</v>
      </c>
      <c r="R4" t="e">
        <f>(P4-N4*H4)/F4</f>
        <v>#DIV/0!</v>
      </c>
      <c r="T4">
        <f>(P4-N4*H4)/P4</f>
        <v>3.9836530942374153E-2</v>
      </c>
    </row>
    <row r="5" spans="1:20" x14ac:dyDescent="0.25">
      <c r="A5" t="s">
        <v>108</v>
      </c>
      <c r="B5">
        <f>100</f>
        <v>100</v>
      </c>
      <c r="C5">
        <v>0.08</v>
      </c>
      <c r="D5" s="1">
        <v>6.96</v>
      </c>
      <c r="E5" s="1"/>
      <c r="F5" s="1">
        <v>3.0200000000000001E-2</v>
      </c>
      <c r="G5" s="1">
        <f>0.0001</f>
        <v>1E-4</v>
      </c>
      <c r="H5" s="1">
        <v>100</v>
      </c>
      <c r="I5" s="1">
        <v>5</v>
      </c>
      <c r="J5" s="1">
        <f>VLOOKUP(A5,'Count-&gt;Actual Activity'!$A$2:$G$16,6)</f>
        <v>4.5228817201985905</v>
      </c>
      <c r="K5" s="1">
        <f>VLOOKUP(A5,'Count-&gt;Actual Activity'!$A$2:$G$16,7)</f>
        <v>0.15745067498955981</v>
      </c>
      <c r="L5" s="1">
        <v>10</v>
      </c>
      <c r="M5" s="1">
        <v>0.01</v>
      </c>
      <c r="N5">
        <f>J5/L5</f>
        <v>0.45228817201985905</v>
      </c>
      <c r="O5">
        <f>SQRT((M5/L5)^2+(K5/J5)^2)*N5</f>
        <v>1.5751562307822962E-2</v>
      </c>
      <c r="P5">
        <f>B5*AVERAGE(Parameters!$B$8:$B$9)</f>
        <v>64.088623616928359</v>
      </c>
      <c r="Q5">
        <f>SQRT((C5/B5)^2+(_xlfn.STDEV.S(Parameters!$B$8:$B$9)/AVERAGE(Parameters!$B$8:$B$9))^2)*'Bottle Results'!P5</f>
        <v>0.51380590747249255</v>
      </c>
      <c r="R5">
        <f>(P5-N5*H5)/F5</f>
        <v>624.49690115703493</v>
      </c>
      <c r="T5">
        <f>(P5-N5*H5)/P5</f>
        <v>0.29427697695103611</v>
      </c>
    </row>
    <row r="6" spans="1:20" x14ac:dyDescent="0.25">
      <c r="A6" t="s">
        <v>109</v>
      </c>
      <c r="B6">
        <f>100</f>
        <v>100</v>
      </c>
      <c r="C6">
        <v>0.08</v>
      </c>
      <c r="D6" s="1">
        <v>7.01</v>
      </c>
      <c r="E6" s="1"/>
      <c r="F6" s="1">
        <v>3.04E-2</v>
      </c>
      <c r="G6" s="1">
        <f>0.0001</f>
        <v>1E-4</v>
      </c>
      <c r="H6" s="1">
        <v>100</v>
      </c>
      <c r="I6" s="1">
        <v>5</v>
      </c>
      <c r="J6" s="1">
        <f>VLOOKUP(A6,'Count-&gt;Actual Activity'!$A$2:$G$16,6)</f>
        <v>4.5447708494390184</v>
      </c>
      <c r="K6" s="1">
        <f>VLOOKUP(A6,'Count-&gt;Actual Activity'!$A$2:$G$16,7)</f>
        <v>0.15745067498955981</v>
      </c>
      <c r="L6" s="1">
        <v>10</v>
      </c>
      <c r="M6" s="1">
        <v>0.01</v>
      </c>
      <c r="N6">
        <f>J6/L6</f>
        <v>0.45447708494390182</v>
      </c>
      <c r="O6">
        <f>SQRT((M6/L6)^2+(K6/J6)^2)*N6</f>
        <v>1.5751625311929529E-2</v>
      </c>
      <c r="P6">
        <f>B6*AVERAGE(Parameters!$B$8:$B$9)</f>
        <v>64.088623616928359</v>
      </c>
      <c r="Q6">
        <f>SQRT((C6/B6)^2+(_xlfn.STDEV.S(Parameters!$B$8:$B$9)/AVERAGE(Parameters!$B$8:$B$9))^2)*'Bottle Results'!P6</f>
        <v>0.51380590747249255</v>
      </c>
      <c r="R6">
        <f>(P6-N6*H6)/F6</f>
        <v>613.1879974519137</v>
      </c>
      <c r="T6">
        <f>(P6-N6*H6)/P6</f>
        <v>0.29086153002690429</v>
      </c>
    </row>
    <row r="7" spans="1:20" x14ac:dyDescent="0.25">
      <c r="A7" t="s">
        <v>110</v>
      </c>
      <c r="B7">
        <f>100</f>
        <v>100</v>
      </c>
      <c r="C7">
        <v>0.08</v>
      </c>
      <c r="D7" s="1">
        <v>7</v>
      </c>
      <c r="E7" s="1"/>
      <c r="F7" s="1">
        <v>3.0700000000000002E-2</v>
      </c>
      <c r="G7" s="1">
        <f>0.0001</f>
        <v>1E-4</v>
      </c>
      <c r="H7" s="1">
        <v>100</v>
      </c>
      <c r="I7" s="1">
        <v>5</v>
      </c>
      <c r="J7" s="1">
        <f>VLOOKUP(A7,'Count-&gt;Actual Activity'!$A$2:$G$16,6)</f>
        <v>4.4773788636563667</v>
      </c>
      <c r="K7" s="1">
        <f>VLOOKUP(A7,'Count-&gt;Actual Activity'!$A$2:$G$16,7)</f>
        <v>0.15745067498955981</v>
      </c>
      <c r="L7" s="1">
        <v>10</v>
      </c>
      <c r="M7" s="1">
        <v>0.01</v>
      </c>
      <c r="N7">
        <f>J7/L7</f>
        <v>0.44773788636563666</v>
      </c>
      <c r="O7">
        <f>SQRT((M7/L7)^2+(K7/J7)^2)*N7</f>
        <v>1.5751432308255878E-2</v>
      </c>
      <c r="P7">
        <f>B7*AVERAGE(Parameters!$B$8:$B$9)</f>
        <v>64.088623616928359</v>
      </c>
      <c r="Q7">
        <f>SQRT((C7/B7)^2+(_xlfn.STDEV.S(Parameters!$B$8:$B$9)/AVERAGE(Parameters!$B$8:$B$9))^2)*'Bottle Results'!P7</f>
        <v>0.51380590747249255</v>
      </c>
      <c r="R7">
        <f>(P7-N7*H7)/F7</f>
        <v>629.14771923012029</v>
      </c>
      <c r="T7">
        <f>(P7-N7*H7)/P7</f>
        <v>0.3013769666175648</v>
      </c>
    </row>
    <row r="8" spans="1:20" ht="15.75" customHeight="1" x14ac:dyDescent="0.25">
      <c r="A8" t="s">
        <v>111</v>
      </c>
      <c r="B8">
        <f>100</f>
        <v>100</v>
      </c>
      <c r="C8">
        <v>0.08</v>
      </c>
      <c r="D8" s="1">
        <v>6.98</v>
      </c>
      <c r="E8" s="1">
        <v>0.222</v>
      </c>
      <c r="F8" s="1">
        <f>E8*Parameters!$B$10/1000</f>
        <v>7.1266904887259935E-3</v>
      </c>
      <c r="G8" s="1">
        <f>SQRT((0.002/E8)^2+(Parameters!$C$10/Parameters!$B$10)^2)*F8</f>
        <v>7.9390702534074816E-5</v>
      </c>
      <c r="H8" s="1">
        <v>100</v>
      </c>
      <c r="I8" s="1">
        <v>5</v>
      </c>
      <c r="J8" s="1">
        <f>VLOOKUP(A8,'Count-&gt;Actual Activity'!$A$2:$G$16,6)</f>
        <v>6.4450125902868773</v>
      </c>
      <c r="K8" s="1">
        <f>VLOOKUP(A8,'Count-&gt;Actual Activity'!$A$2:$G$16,7)</f>
        <v>0.15745067498955981</v>
      </c>
      <c r="L8" s="1">
        <v>10</v>
      </c>
      <c r="M8" s="1">
        <v>0.01</v>
      </c>
      <c r="N8">
        <f>J8/L8</f>
        <v>0.64450125902868771</v>
      </c>
      <c r="O8">
        <f>SQRT((M8/L8)^2+(K8/J8)^2)*N8</f>
        <v>1.575825283524698E-2</v>
      </c>
      <c r="P8">
        <f>B8*AVERAGE(Parameters!$B$8:$B$9)</f>
        <v>64.088623616928359</v>
      </c>
      <c r="Q8">
        <f>SQRT((C8/B8)^2+(_xlfn.STDEV.S(Parameters!$B$8:$B$9)/AVERAGE(Parameters!$B$8:$B$9))^2)*'Bottle Results'!P8</f>
        <v>0.51380590747249255</v>
      </c>
      <c r="R8">
        <f>(P8-N8*H8)/F8</f>
        <v>-50.725127815259157</v>
      </c>
      <c r="T8">
        <f>(P8-N8*H8)/P8</f>
        <v>-5.6406623443997729E-3</v>
      </c>
    </row>
    <row r="9" spans="1:20" x14ac:dyDescent="0.25">
      <c r="A9" t="s">
        <v>112</v>
      </c>
      <c r="B9">
        <f>100</f>
        <v>100</v>
      </c>
      <c r="C9">
        <v>0.08</v>
      </c>
      <c r="D9" s="1">
        <v>6.99</v>
      </c>
      <c r="E9" s="1">
        <v>0.222</v>
      </c>
      <c r="F9" s="1">
        <f>E9*Parameters!$B$10/1000</f>
        <v>7.1266904887259935E-3</v>
      </c>
      <c r="G9" s="1">
        <f>SQRT((0.002/E9)^2+(Parameters!$C$10/Parameters!$B$10)^2)*F9</f>
        <v>7.9390702534074816E-5</v>
      </c>
      <c r="H9" s="1">
        <v>100</v>
      </c>
      <c r="I9" s="1">
        <v>5</v>
      </c>
      <c r="J9" s="1">
        <f>VLOOKUP(A9,'Count-&gt;Actual Activity'!$A$2:$G$16,6)</f>
        <v>6.4450125902868773</v>
      </c>
      <c r="K9" s="1">
        <f>VLOOKUP(A9,'Count-&gt;Actual Activity'!$A$2:$G$16,7)</f>
        <v>0.15745067498955981</v>
      </c>
      <c r="L9" s="1">
        <v>10</v>
      </c>
      <c r="M9" s="1">
        <v>0.01</v>
      </c>
      <c r="N9">
        <f>J9/L9</f>
        <v>0.64450125902868771</v>
      </c>
      <c r="O9">
        <f>SQRT((M9/L9)^2+(K9/J9)^2)*N9</f>
        <v>1.575825283524698E-2</v>
      </c>
      <c r="P9">
        <f>B9*AVERAGE(Parameters!$B$8:$B$9)</f>
        <v>64.088623616928359</v>
      </c>
      <c r="Q9">
        <f>SQRT((C9/B9)^2+(_xlfn.STDEV.S(Parameters!$B$8:$B$9)/AVERAGE(Parameters!$B$8:$B$9))^2)*'Bottle Results'!P9</f>
        <v>0.51380590747249255</v>
      </c>
      <c r="R9">
        <f>(P9-N9*H9)/F9</f>
        <v>-50.725127815259157</v>
      </c>
      <c r="T9">
        <f>(P9-N9*H9)/P9</f>
        <v>-5.6406623443997729E-3</v>
      </c>
    </row>
    <row r="10" spans="1:20" x14ac:dyDescent="0.25">
      <c r="A10" t="s">
        <v>113</v>
      </c>
      <c r="B10">
        <f>100</f>
        <v>100</v>
      </c>
      <c r="C10">
        <v>0.08</v>
      </c>
      <c r="D10" s="1">
        <v>7</v>
      </c>
      <c r="E10" s="1">
        <v>0.222</v>
      </c>
      <c r="F10" s="1">
        <f>E10*Parameters!$B$10/1000</f>
        <v>7.1266904887259935E-3</v>
      </c>
      <c r="G10" s="1">
        <f>SQRT((0.002/E10)^2+(Parameters!$C$10/Parameters!$B$10)^2)*F10</f>
        <v>7.9390702534074816E-5</v>
      </c>
      <c r="H10" s="1">
        <v>100</v>
      </c>
      <c r="I10" s="1">
        <v>5</v>
      </c>
      <c r="J10" s="1">
        <f>VLOOKUP(A10,'Count-&gt;Actual Activity'!$A$2:$G$16,6)</f>
        <v>6.4450125902868773</v>
      </c>
      <c r="K10" s="1">
        <f>VLOOKUP(A10,'Count-&gt;Actual Activity'!$A$2:$G$16,7)</f>
        <v>0.15745067498955981</v>
      </c>
      <c r="L10" s="1">
        <v>10</v>
      </c>
      <c r="M10" s="1">
        <v>0.01</v>
      </c>
      <c r="N10">
        <f>J10/L10</f>
        <v>0.64450125902868771</v>
      </c>
      <c r="O10">
        <f>SQRT((M10/L10)^2+(K10/J10)^2)*N10</f>
        <v>1.575825283524698E-2</v>
      </c>
      <c r="P10">
        <f>B10*AVERAGE(Parameters!$B$8:$B$9)</f>
        <v>64.088623616928359</v>
      </c>
      <c r="Q10">
        <f>SQRT((C10/B10)^2+(_xlfn.STDEV.S(Parameters!$B$8:$B$9)/AVERAGE(Parameters!$B$8:$B$9))^2)*'Bottle Results'!P10</f>
        <v>0.51380590747249255</v>
      </c>
      <c r="R10">
        <f>(P10-N10*H10)/F10</f>
        <v>-50.725127815259157</v>
      </c>
      <c r="T10">
        <f>(P10-N10*H10)/P10</f>
        <v>-5.6406623443997729E-3</v>
      </c>
    </row>
    <row r="11" spans="1:20" x14ac:dyDescent="0.25">
      <c r="A11" t="s">
        <v>114</v>
      </c>
      <c r="B11">
        <f>100</f>
        <v>100</v>
      </c>
      <c r="C11">
        <v>0.08</v>
      </c>
      <c r="D11" s="1">
        <v>6.99</v>
      </c>
      <c r="E11" s="1"/>
      <c r="F11" s="1">
        <v>2.98E-2</v>
      </c>
      <c r="G11" s="1">
        <v>1E-4</v>
      </c>
      <c r="H11" s="1">
        <v>100</v>
      </c>
      <c r="I11" s="1">
        <v>5</v>
      </c>
      <c r="J11" s="1">
        <f>VLOOKUP(A11,'Count-&gt;Actual Activity'!$A$2:$G$16,6)</f>
        <v>6.1535555179158417</v>
      </c>
      <c r="K11" s="1">
        <f>VLOOKUP(A11,'Count-&gt;Actual Activity'!$A$2:$G$16,7)</f>
        <v>0.15745067498955981</v>
      </c>
      <c r="L11" s="1">
        <v>10</v>
      </c>
      <c r="M11" s="1">
        <v>0.01</v>
      </c>
      <c r="N11">
        <f>J11/L11</f>
        <v>0.61535555179158419</v>
      </c>
      <c r="O11">
        <f>SQRT((M11/L11)^2+(K11/J11)^2)*N11</f>
        <v>1.5757087706863876E-2</v>
      </c>
      <c r="P11">
        <f>B11*AVERAGE(Parameters!$B$8:$B$9)</f>
        <v>64.088623616928359</v>
      </c>
      <c r="Q11">
        <f>SQRT((C11/B11)^2+(_xlfn.STDEV.S(Parameters!$B$8:$B$9)/AVERAGE(Parameters!$B$8:$B$9))^2)*'Bottle Results'!P11</f>
        <v>0.51380590747249255</v>
      </c>
      <c r="R11">
        <f>(P11-N11*H11)/F11</f>
        <v>85.673437509058303</v>
      </c>
      <c r="T11">
        <f>(P11-N11*H11)/P11</f>
        <v>3.9836530942374153E-2</v>
      </c>
    </row>
    <row r="12" spans="1:20" x14ac:dyDescent="0.25">
      <c r="A12" t="s">
        <v>115</v>
      </c>
      <c r="B12">
        <f>100</f>
        <v>100</v>
      </c>
      <c r="C12">
        <v>0.08</v>
      </c>
      <c r="D12" s="1">
        <v>6.99</v>
      </c>
      <c r="E12" s="1"/>
      <c r="F12" s="1">
        <v>2.93E-2</v>
      </c>
      <c r="G12" s="1">
        <v>1E-4</v>
      </c>
      <c r="H12" s="1">
        <v>100</v>
      </c>
      <c r="I12" s="1">
        <v>5</v>
      </c>
      <c r="J12" s="1">
        <f>VLOOKUP(A12,'Count-&gt;Actual Activity'!$A$2:$G$16,6)</f>
        <v>6.1535555179158417</v>
      </c>
      <c r="K12" s="1">
        <f>VLOOKUP(A12,'Count-&gt;Actual Activity'!$A$2:$G$16,7)</f>
        <v>0.15745067498955981</v>
      </c>
      <c r="L12" s="1">
        <v>10</v>
      </c>
      <c r="M12" s="1">
        <v>0.01</v>
      </c>
      <c r="N12">
        <f>J12/L12</f>
        <v>0.61535555179158419</v>
      </c>
      <c r="O12">
        <f>SQRT((M12/L12)^2+(K12/J12)^2)*N12</f>
        <v>1.5757087706863876E-2</v>
      </c>
      <c r="P12">
        <f>B12*AVERAGE(Parameters!$B$8:$B$9)</f>
        <v>64.088623616928359</v>
      </c>
      <c r="Q12">
        <f>SQRT((C12/B12)^2+(_xlfn.STDEV.S(Parameters!$B$8:$B$9)/AVERAGE(Parameters!$B$8:$B$9))^2)*'Bottle Results'!P12</f>
        <v>0.51380590747249255</v>
      </c>
      <c r="R12">
        <f>(P12-N12*H12)/F12</f>
        <v>87.135441562113897</v>
      </c>
      <c r="T12">
        <f>(P12-N12*H12)/P12</f>
        <v>3.9836530942374153E-2</v>
      </c>
    </row>
    <row r="13" spans="1:20" x14ac:dyDescent="0.25">
      <c r="A13" t="s">
        <v>116</v>
      </c>
      <c r="B13">
        <f>100</f>
        <v>100</v>
      </c>
      <c r="C13">
        <v>0.08</v>
      </c>
      <c r="D13" s="1">
        <v>6.98</v>
      </c>
      <c r="E13" s="1"/>
      <c r="F13" s="1">
        <v>0.03</v>
      </c>
      <c r="G13" s="1">
        <v>1E-4</v>
      </c>
      <c r="H13" s="1">
        <v>100</v>
      </c>
      <c r="I13" s="1">
        <v>5</v>
      </c>
      <c r="J13" s="1">
        <f>VLOOKUP(A13,'Count-&gt;Actual Activity'!$A$2:$G$16,6)</f>
        <v>6.1535555179158417</v>
      </c>
      <c r="K13" s="1">
        <f>VLOOKUP(A13,'Count-&gt;Actual Activity'!$A$2:$G$16,7)</f>
        <v>0.15745067498955981</v>
      </c>
      <c r="L13" s="1">
        <v>10</v>
      </c>
      <c r="M13" s="1">
        <v>0.01</v>
      </c>
      <c r="N13">
        <f>J13/L13</f>
        <v>0.61535555179158419</v>
      </c>
      <c r="O13">
        <f>SQRT((M13/L13)^2+(K13/J13)^2)*N13</f>
        <v>1.5757087706863876E-2</v>
      </c>
      <c r="P13">
        <f>B13*AVERAGE(Parameters!$B$8:$B$9)</f>
        <v>64.088623616928359</v>
      </c>
      <c r="Q13">
        <f>SQRT((C13/B13)^2+(_xlfn.STDEV.S(Parameters!$B$8:$B$9)/AVERAGE(Parameters!$B$8:$B$9))^2)*'Bottle Results'!P13</f>
        <v>0.51380590747249255</v>
      </c>
      <c r="R13">
        <f>(P13-N13*H13)/F13</f>
        <v>85.10228125899792</v>
      </c>
      <c r="T13">
        <f>(P13-N13*H13)/P13</f>
        <v>3.9836530942374153E-2</v>
      </c>
    </row>
  </sheetData>
  <conditionalFormatting sqref="J2:J13">
    <cfRule type="cellIs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2" sqref="B2:K5"/>
    </sheetView>
  </sheetViews>
  <sheetFormatPr defaultRowHeight="15" x14ac:dyDescent="0.25"/>
  <cols>
    <col min="1" max="1" width="12.28515625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127</v>
      </c>
      <c r="L1" t="s">
        <v>7</v>
      </c>
    </row>
    <row r="2" spans="1:12" x14ac:dyDescent="0.25">
      <c r="A2" t="s">
        <v>128</v>
      </c>
      <c r="B2">
        <f>AVERAGE('Bottle Results'!N2:N4)</f>
        <v>0.61018175760748272</v>
      </c>
      <c r="C2">
        <f>_xlfn.STDEV.S('Bottle Results'!N2:N4)</f>
        <v>4.7506115760659771E-3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64.088623616928359</v>
      </c>
      <c r="G2">
        <f>AVERAGE('Bottle Results'!T2:T4)</f>
        <v>4.7909405490322556E-2</v>
      </c>
      <c r="H2">
        <f>_xlfn.STDEV.S('Bottle Results'!T2:T4)</f>
        <v>7.4125660810901925E-3</v>
      </c>
      <c r="I2">
        <f>AVERAGE('Bottle Results'!D2:D4)</f>
        <v>6.996666666666667</v>
      </c>
      <c r="J2">
        <f>_xlfn.STDEV.S('Bottle Results'!D2:D4)</f>
        <v>5.7735026918961348E-3</v>
      </c>
      <c r="K2">
        <f>COUNT('Bottle Results'!J2:J4)</f>
        <v>3</v>
      </c>
    </row>
    <row r="3" spans="1:12" x14ac:dyDescent="0.25">
      <c r="A3" t="s">
        <v>129</v>
      </c>
      <c r="B3">
        <f>AVERAGE('Bottle Results'!N5:N7)</f>
        <v>0.45150104777646582</v>
      </c>
      <c r="C3">
        <f>_xlfn.STDEV.S('Bottle Results'!N5:N7)</f>
        <v>3.4378587522214728E-3</v>
      </c>
      <c r="D3">
        <f>AVERAGE('Bottle Results'!R5:R7)</f>
        <v>622.27753927968968</v>
      </c>
      <c r="E3">
        <f>_xlfn.STDEV.S('Bottle Results'!R5:R7)</f>
        <v>8.2080664694190073</v>
      </c>
      <c r="F3">
        <f>AVERAGE('Bottle Results'!P5:P7)</f>
        <v>64.088623616928359</v>
      </c>
      <c r="G3">
        <f>AVERAGE('Bottle Results'!T5:T7)</f>
        <v>0.2955051578651684</v>
      </c>
      <c r="H3">
        <f>_xlfn.STDEV.S('Bottle Results'!T5:T7)</f>
        <v>5.3642262201951934E-3</v>
      </c>
      <c r="I3">
        <f>AVERAGE('Bottle Results'!D5:D7)</f>
        <v>6.9899999999999993</v>
      </c>
      <c r="J3">
        <f>_xlfn.STDEV.S('Bottle Results'!D5:D7)</f>
        <v>2.6457513110645845E-2</v>
      </c>
      <c r="K3">
        <f>COUNT('Bottle Results'!J5:J7)</f>
        <v>3</v>
      </c>
    </row>
    <row r="4" spans="1:12" x14ac:dyDescent="0.25">
      <c r="A4" t="s">
        <v>130</v>
      </c>
      <c r="B4">
        <f>AVERAGE('Bottle Results'!N8:N10)</f>
        <v>0.64450125902868771</v>
      </c>
      <c r="C4">
        <f>_xlfn.STDEV.S('Bottle Results'!N8:N10)</f>
        <v>0</v>
      </c>
      <c r="D4">
        <f>AVERAGE('Bottle Results'!R8:R10)</f>
        <v>-50.725127815259157</v>
      </c>
      <c r="E4">
        <f>_xlfn.STDEV.S('Bottle Results'!R8:R10)</f>
        <v>0</v>
      </c>
      <c r="F4">
        <f>AVERAGE('Bottle Results'!P8:P10)</f>
        <v>64.088623616928359</v>
      </c>
      <c r="G4">
        <f>AVERAGE('Bottle Results'!T8:T10)</f>
        <v>-5.6406623443997729E-3</v>
      </c>
      <c r="H4">
        <f>_xlfn.STDEV.S('Bottle Results'!T8:T10)</f>
        <v>0</v>
      </c>
      <c r="I4">
        <f>AVERAGE('Bottle Results'!D8:D10)</f>
        <v>6.9899999999999993</v>
      </c>
      <c r="J4">
        <f>_xlfn.STDEV.S('Bottle Results'!D8:D10)</f>
        <v>9.9999999999997868E-3</v>
      </c>
      <c r="K4">
        <f>COUNT('Bottle Results'!J8:J10)</f>
        <v>3</v>
      </c>
    </row>
    <row r="5" spans="1:12" x14ac:dyDescent="0.25">
      <c r="A5" t="s">
        <v>131</v>
      </c>
      <c r="B5">
        <f>AVERAGE('Bottle Results'!N11:N13)</f>
        <v>0.61535555179158419</v>
      </c>
      <c r="C5">
        <f>_xlfn.STDEV.S('Bottle Results'!N11:N13)</f>
        <v>0</v>
      </c>
      <c r="D5">
        <f>AVERAGE('Bottle Results'!R11:R13)</f>
        <v>85.970386776723373</v>
      </c>
      <c r="E5">
        <f>_xlfn.STDEV.S('Bottle Results'!R11:R13)</f>
        <v>1.0486035262275153</v>
      </c>
      <c r="F5">
        <f>AVERAGE('Bottle Results'!P11:P13)</f>
        <v>64.088623616928359</v>
      </c>
      <c r="G5">
        <f>AVERAGE('Bottle Results'!T11:T13)</f>
        <v>3.9836530942374153E-2</v>
      </c>
      <c r="H5">
        <f>_xlfn.STDEV.S('Bottle Results'!T11:T13)</f>
        <v>0</v>
      </c>
      <c r="I5">
        <f>AVERAGE('Bottle Results'!D11:D13)</f>
        <v>6.9866666666666672</v>
      </c>
      <c r="J5">
        <f>_xlfn.STDEV.S('Bottle Results'!D3:D11)</f>
        <v>1.4529663145135506E-2</v>
      </c>
      <c r="K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2017-07-07T17:40:06Z</dcterms:modified>
</cp:coreProperties>
</file>