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Glass_May11_2017\"/>
    </mc:Choice>
  </mc:AlternateContent>
  <bookViews>
    <workbookView xWindow="0" yWindow="0" windowWidth="28800" windowHeight="11835" activeTab="5"/>
  </bookViews>
  <sheets>
    <sheet name="Parameters" sheetId="1" r:id="rId1"/>
    <sheet name="Scintillation Counter Results" sheetId="3" r:id="rId2"/>
    <sheet name="Calibration Data" sheetId="9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8" l="1"/>
  <c r="H13" i="8"/>
  <c r="G13" i="8"/>
  <c r="F13" i="8"/>
  <c r="E13" i="8"/>
  <c r="D13" i="8"/>
  <c r="C13" i="8"/>
  <c r="B13" i="8"/>
  <c r="I12" i="8"/>
  <c r="H12" i="8"/>
  <c r="G12" i="8"/>
  <c r="F12" i="8"/>
  <c r="E12" i="8"/>
  <c r="D12" i="8"/>
  <c r="C12" i="8"/>
  <c r="B12" i="8"/>
  <c r="I11" i="8"/>
  <c r="H11" i="8"/>
  <c r="G11" i="8"/>
  <c r="F11" i="8"/>
  <c r="E11" i="8"/>
  <c r="D11" i="8"/>
  <c r="C11" i="8"/>
  <c r="B11" i="8"/>
  <c r="I10" i="8"/>
  <c r="H10" i="8"/>
  <c r="G10" i="8"/>
  <c r="F10" i="8"/>
  <c r="E10" i="8"/>
  <c r="D10" i="8"/>
  <c r="C10" i="8"/>
  <c r="B10" i="8"/>
  <c r="I9" i="8"/>
  <c r="H9" i="8"/>
  <c r="G9" i="8"/>
  <c r="F9" i="8"/>
  <c r="E9" i="8"/>
  <c r="D9" i="8"/>
  <c r="C9" i="8"/>
  <c r="B9" i="8"/>
  <c r="I8" i="8"/>
  <c r="H8" i="8"/>
  <c r="G8" i="8"/>
  <c r="F8" i="8"/>
  <c r="E8" i="8"/>
  <c r="D8" i="8"/>
  <c r="C8" i="8"/>
  <c r="B8" i="8"/>
  <c r="H7" i="8" l="1"/>
  <c r="G7" i="8"/>
  <c r="D7" i="8"/>
  <c r="H6" i="8"/>
  <c r="G6" i="8"/>
  <c r="D6" i="8"/>
  <c r="H5" i="8"/>
  <c r="G5" i="8"/>
  <c r="D5" i="8"/>
  <c r="H4" i="8"/>
  <c r="G4" i="8"/>
  <c r="D4" i="8"/>
  <c r="H3" i="8"/>
  <c r="G3" i="8"/>
  <c r="D3" i="8"/>
  <c r="H2" i="8"/>
  <c r="G2" i="8"/>
  <c r="D2" i="8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G2" i="2"/>
  <c r="F2" i="2"/>
  <c r="D10" i="9"/>
  <c r="C10" i="9"/>
  <c r="E10" i="9" s="1"/>
  <c r="F9" i="9"/>
  <c r="G9" i="9" s="1"/>
  <c r="D9" i="9"/>
  <c r="H9" i="9" s="1"/>
  <c r="C9" i="9"/>
  <c r="E9" i="9" s="1"/>
  <c r="J8" i="9"/>
  <c r="E8" i="9"/>
  <c r="D8" i="9"/>
  <c r="H8" i="9" s="1"/>
  <c r="F7" i="9"/>
  <c r="G5" i="9" s="1"/>
  <c r="E7" i="9"/>
  <c r="D7" i="9"/>
  <c r="H7" i="9" s="1"/>
  <c r="E6" i="9"/>
  <c r="D6" i="9"/>
  <c r="H6" i="9" s="1"/>
  <c r="H5" i="9"/>
  <c r="E5" i="9"/>
  <c r="D5" i="9"/>
  <c r="J5" i="9" s="1"/>
  <c r="J4" i="9"/>
  <c r="E4" i="9"/>
  <c r="D4" i="9"/>
  <c r="H4" i="9" s="1"/>
  <c r="H3" i="9"/>
  <c r="E3" i="9"/>
  <c r="D3" i="9"/>
  <c r="J3" i="9" s="1"/>
  <c r="G2" i="9"/>
  <c r="E2" i="9"/>
  <c r="D2" i="9"/>
  <c r="J2" i="9" s="1"/>
  <c r="K2" i="9" s="1"/>
  <c r="C6" i="1"/>
  <c r="B6" i="1"/>
  <c r="I5" i="9" l="1"/>
  <c r="I9" i="9"/>
  <c r="G4" i="9"/>
  <c r="I4" i="9" s="1"/>
  <c r="K5" i="9"/>
  <c r="G3" i="9"/>
  <c r="K3" i="9" s="1"/>
  <c r="J6" i="9"/>
  <c r="J7" i="9"/>
  <c r="J9" i="9"/>
  <c r="K9" i="9" s="1"/>
  <c r="H2" i="9"/>
  <c r="I2" i="9" s="1"/>
  <c r="G8" i="9"/>
  <c r="K8" i="9" s="1"/>
  <c r="G6" i="9"/>
  <c r="I6" i="9" s="1"/>
  <c r="G7" i="9"/>
  <c r="I7" i="9" s="1"/>
  <c r="G24" i="5"/>
  <c r="K24" i="5" s="1"/>
  <c r="G28" i="5"/>
  <c r="K28" i="5" s="1"/>
  <c r="H20" i="5"/>
  <c r="H21" i="5"/>
  <c r="H22" i="5"/>
  <c r="H23" i="5"/>
  <c r="H24" i="5"/>
  <c r="H25" i="5"/>
  <c r="G26" i="5"/>
  <c r="K26" i="5" s="1"/>
  <c r="H26" i="5"/>
  <c r="H27" i="5"/>
  <c r="H28" i="5"/>
  <c r="H29" i="5"/>
  <c r="H30" i="5"/>
  <c r="H31" i="5"/>
  <c r="H32" i="5"/>
  <c r="H33" i="5"/>
  <c r="G34" i="5"/>
  <c r="K34" i="5" s="1"/>
  <c r="H34" i="5"/>
  <c r="H35" i="5"/>
  <c r="G36" i="5"/>
  <c r="K36" i="5" s="1"/>
  <c r="H36" i="5"/>
  <c r="H37" i="5"/>
  <c r="K6" i="9" l="1"/>
  <c r="K4" i="9"/>
  <c r="K7" i="9"/>
  <c r="L34" i="5"/>
  <c r="L36" i="5"/>
  <c r="L28" i="5"/>
  <c r="I8" i="9"/>
  <c r="I3" i="9"/>
  <c r="I11" i="9" s="1"/>
  <c r="L24" i="5"/>
  <c r="G32" i="5"/>
  <c r="K32" i="5" s="1"/>
  <c r="L26" i="5"/>
  <c r="G20" i="5"/>
  <c r="K20" i="5" s="1"/>
  <c r="G35" i="5"/>
  <c r="K35" i="5" s="1"/>
  <c r="G31" i="5"/>
  <c r="K31" i="5" s="1"/>
  <c r="G27" i="5"/>
  <c r="K27" i="5" s="1"/>
  <c r="G23" i="5"/>
  <c r="K23" i="5" s="1"/>
  <c r="G30" i="5"/>
  <c r="K30" i="5" s="1"/>
  <c r="G22" i="5"/>
  <c r="K22" i="5" s="1"/>
  <c r="G37" i="5"/>
  <c r="K37" i="5" s="1"/>
  <c r="G33" i="5"/>
  <c r="K33" i="5" s="1"/>
  <c r="G29" i="5"/>
  <c r="K29" i="5" s="1"/>
  <c r="G25" i="5"/>
  <c r="K25" i="5" s="1"/>
  <c r="G21" i="5"/>
  <c r="K21" i="5" s="1"/>
  <c r="K11" i="9" l="1"/>
  <c r="L32" i="5"/>
  <c r="L22" i="5"/>
  <c r="L31" i="5"/>
  <c r="L20" i="5"/>
  <c r="L21" i="5"/>
  <c r="L35" i="5"/>
  <c r="L37" i="5"/>
  <c r="L25" i="5"/>
  <c r="L33" i="5"/>
  <c r="L29" i="5"/>
  <c r="L27" i="5"/>
  <c r="L30" i="5"/>
  <c r="L23" i="5"/>
  <c r="M3" i="5"/>
  <c r="M7" i="5"/>
  <c r="M11" i="5"/>
  <c r="M5" i="5"/>
  <c r="N5" i="5" s="1"/>
  <c r="M9" i="5"/>
  <c r="M13" i="5"/>
  <c r="N13" i="5" s="1"/>
  <c r="M16" i="5"/>
  <c r="M17" i="5"/>
  <c r="M19" i="5"/>
  <c r="M20" i="5"/>
  <c r="O20" i="5" s="1"/>
  <c r="M22" i="5"/>
  <c r="O22" i="5" s="1"/>
  <c r="M24" i="5"/>
  <c r="O24" i="5" s="1"/>
  <c r="M26" i="5"/>
  <c r="O26" i="5" s="1"/>
  <c r="M28" i="5"/>
  <c r="O28" i="5" s="1"/>
  <c r="M30" i="5"/>
  <c r="O30" i="5" s="1"/>
  <c r="M32" i="5"/>
  <c r="O32" i="5" s="1"/>
  <c r="M34" i="5"/>
  <c r="O34" i="5" s="1"/>
  <c r="M37" i="5"/>
  <c r="O37" i="5" s="1"/>
  <c r="M6" i="5"/>
  <c r="M10" i="5"/>
  <c r="M14" i="5"/>
  <c r="M15" i="5"/>
  <c r="M18" i="5"/>
  <c r="N18" i="5" s="1"/>
  <c r="M21" i="5"/>
  <c r="O21" i="5" s="1"/>
  <c r="M23" i="5"/>
  <c r="O23" i="5" s="1"/>
  <c r="M25" i="5"/>
  <c r="O25" i="5" s="1"/>
  <c r="M27" i="5"/>
  <c r="O27" i="5" s="1"/>
  <c r="M29" i="5"/>
  <c r="O29" i="5" s="1"/>
  <c r="M31" i="5"/>
  <c r="O31" i="5" s="1"/>
  <c r="M33" i="5"/>
  <c r="O33" i="5" s="1"/>
  <c r="M35" i="5"/>
  <c r="O35" i="5" s="1"/>
  <c r="M36" i="5"/>
  <c r="O36" i="5" s="1"/>
  <c r="M4" i="5"/>
  <c r="M8" i="5"/>
  <c r="M12" i="5"/>
  <c r="N12" i="5" s="1"/>
  <c r="N28" i="5" l="1"/>
  <c r="N33" i="5"/>
  <c r="N21" i="5"/>
  <c r="N30" i="5"/>
  <c r="N7" i="5"/>
  <c r="N37" i="5"/>
  <c r="N25" i="5"/>
  <c r="N15" i="5"/>
  <c r="N8" i="5"/>
  <c r="N34" i="5"/>
  <c r="N14" i="5"/>
  <c r="N26" i="5"/>
  <c r="N19" i="5"/>
  <c r="N10" i="5"/>
  <c r="N3" i="5"/>
  <c r="N24" i="5"/>
  <c r="N36" i="5"/>
  <c r="N32" i="5"/>
  <c r="N17" i="5"/>
  <c r="N6" i="5"/>
  <c r="N29" i="5"/>
  <c r="N22" i="5"/>
  <c r="N35" i="5"/>
  <c r="N31" i="5"/>
  <c r="N23" i="5"/>
  <c r="N16" i="5"/>
  <c r="N11" i="5"/>
  <c r="N27" i="5"/>
  <c r="N20" i="5"/>
  <c r="N9" i="5"/>
  <c r="N4" i="5"/>
  <c r="M2" i="5" l="1"/>
  <c r="N2" i="5" s="1"/>
  <c r="G10" i="5"/>
  <c r="K10" i="5" s="1"/>
  <c r="O10" i="5" l="1"/>
  <c r="G18" i="5"/>
  <c r="K18" i="5" s="1"/>
  <c r="O18" i="5" s="1"/>
  <c r="G19" i="5"/>
  <c r="K19" i="5" s="1"/>
  <c r="O19" i="5" s="1"/>
  <c r="G3" i="5"/>
  <c r="K3" i="5" s="1"/>
  <c r="G9" i="5"/>
  <c r="K9" i="5" s="1"/>
  <c r="G16" i="5"/>
  <c r="K16" i="5" s="1"/>
  <c r="O16" i="5" s="1"/>
  <c r="G8" i="5"/>
  <c r="G15" i="5"/>
  <c r="K15" i="5" s="1"/>
  <c r="O15" i="5" s="1"/>
  <c r="G7" i="5"/>
  <c r="K7" i="5" s="1"/>
  <c r="G14" i="5"/>
  <c r="G6" i="5"/>
  <c r="K6" i="5" s="1"/>
  <c r="G13" i="5"/>
  <c r="K13" i="5" s="1"/>
  <c r="G5" i="5"/>
  <c r="G4" i="5"/>
  <c r="K4" i="5" s="1"/>
  <c r="G17" i="5"/>
  <c r="G12" i="5"/>
  <c r="K12" i="5" s="1"/>
  <c r="G11" i="5"/>
  <c r="K17" i="5" l="1"/>
  <c r="I7" i="8"/>
  <c r="K11" i="5"/>
  <c r="I5" i="8"/>
  <c r="K5" i="5"/>
  <c r="I3" i="8"/>
  <c r="K8" i="5"/>
  <c r="I4" i="8"/>
  <c r="K14" i="5"/>
  <c r="I6" i="8"/>
  <c r="O11" i="5"/>
  <c r="O7" i="5"/>
  <c r="O12" i="5"/>
  <c r="O13" i="5"/>
  <c r="O3" i="5"/>
  <c r="O6" i="5"/>
  <c r="O5" i="5"/>
  <c r="O9" i="5"/>
  <c r="O4" i="5"/>
  <c r="G2" i="5"/>
  <c r="O17" i="5" l="1"/>
  <c r="C7" i="8"/>
  <c r="B7" i="8"/>
  <c r="C4" i="8"/>
  <c r="B4" i="8"/>
  <c r="K2" i="5"/>
  <c r="I2" i="8"/>
  <c r="B3" i="8"/>
  <c r="C3" i="8"/>
  <c r="O14" i="5"/>
  <c r="C6" i="8"/>
  <c r="B6" i="8"/>
  <c r="F5" i="8"/>
  <c r="E5" i="8"/>
  <c r="C5" i="8"/>
  <c r="B5" i="8"/>
  <c r="F3" i="8"/>
  <c r="E3" i="8"/>
  <c r="O8" i="5"/>
  <c r="O2" i="5"/>
  <c r="C2" i="8" l="1"/>
  <c r="B2" i="8"/>
  <c r="F2" i="8"/>
  <c r="E2" i="8"/>
  <c r="F4" i="8"/>
  <c r="E4" i="8"/>
  <c r="F6" i="8"/>
  <c r="E6" i="8"/>
  <c r="F7" i="8"/>
  <c r="E7" i="8"/>
  <c r="H11" i="5"/>
  <c r="L11" i="5" s="1"/>
  <c r="H10" i="5"/>
  <c r="L10" i="5" s="1"/>
  <c r="H16" i="5"/>
  <c r="L16" i="5" s="1"/>
  <c r="H14" i="5"/>
  <c r="L14" i="5" s="1"/>
  <c r="H4" i="5"/>
  <c r="L4" i="5" s="1"/>
  <c r="H2" i="5"/>
  <c r="L2" i="5" s="1"/>
  <c r="H17" i="5"/>
  <c r="L17" i="5" s="1"/>
  <c r="H19" i="5"/>
  <c r="L19" i="5" s="1"/>
  <c r="H9" i="5"/>
  <c r="L9" i="5" s="1"/>
  <c r="H7" i="5"/>
  <c r="L7" i="5" s="1"/>
  <c r="H6" i="5"/>
  <c r="L6" i="5" s="1"/>
  <c r="H5" i="5"/>
  <c r="L5" i="5" s="1"/>
  <c r="H13" i="5"/>
  <c r="L13" i="5" s="1"/>
  <c r="H18" i="5"/>
  <c r="L18" i="5" s="1"/>
  <c r="H8" i="5"/>
  <c r="L8" i="5" s="1"/>
  <c r="H12" i="5"/>
  <c r="L12" i="5" s="1"/>
  <c r="H3" i="5"/>
  <c r="L3" i="5" s="1"/>
  <c r="H15" i="5"/>
  <c r="L15" i="5" s="1"/>
</calcChain>
</file>

<file path=xl/sharedStrings.xml><?xml version="1.0" encoding="utf-8"?>
<sst xmlns="http://schemas.openxmlformats.org/spreadsheetml/2006/main" count="413" uniqueCount="155">
  <si>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</si>
  <si>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</si>
  <si>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</si>
  <si>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</si>
  <si>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</si>
  <si>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</si>
  <si>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</si>
  <si>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</si>
  <si>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</si>
  <si>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</si>
  <si>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</si>
  <si>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</si>
  <si>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</si>
  <si>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</si>
  <si>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</si>
  <si>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</si>
  <si>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</si>
  <si>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</si>
  <si>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</si>
  <si>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</si>
  <si>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</si>
  <si>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</si>
  <si>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</si>
  <si>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</si>
  <si>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Stock Volume Added (mL)</t>
  </si>
  <si>
    <t>Stock Vol Err (mL)</t>
  </si>
  <si>
    <t>Cw (Bq/mL)</t>
  </si>
  <si>
    <t>dCw (Bq/mL)</t>
  </si>
  <si>
    <t>Total Activity (Bq)</t>
  </si>
  <si>
    <t>dTotal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</si>
  <si>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</si>
  <si>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</si>
  <si>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</si>
  <si>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</si>
  <si>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</si>
  <si>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</si>
  <si>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</si>
  <si>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</si>
  <si>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</si>
  <si>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</si>
  <si>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</si>
  <si>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</si>
  <si>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</si>
  <si>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</si>
  <si>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</si>
  <si>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</si>
  <si>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</si>
  <si>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</si>
  <si>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</si>
  <si>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</si>
  <si>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</si>
  <si>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</si>
  <si>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</si>
  <si>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</si>
  <si>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</si>
  <si>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</si>
  <si>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</si>
  <si>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</si>
  <si>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</si>
  <si>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</si>
  <si>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</si>
  <si>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</si>
  <si>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</si>
  <si>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</si>
  <si>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</si>
  <si>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</si>
  <si>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</si>
  <si>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</si>
  <si>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</si>
  <si>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</si>
  <si>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Solution counts (Bq)</t>
  </si>
  <si>
    <t>Solution Counts error (Bq)</t>
  </si>
  <si>
    <t>Total Volume (mL)</t>
  </si>
  <si>
    <t>Total Volume Error (mL)</t>
  </si>
  <si>
    <t>Counted Solution Vol (mL)</t>
  </si>
  <si>
    <t>Counted Solution Vol error (mL)</t>
  </si>
  <si>
    <t>Calibration Method</t>
  </si>
  <si>
    <t>Activity (Bq)</t>
  </si>
  <si>
    <t>Activity Error (Bq)</t>
  </si>
  <si>
    <t>Phase</t>
  </si>
  <si>
    <t>Water</t>
  </si>
  <si>
    <t>sCw (Bq/mL)</t>
  </si>
  <si>
    <t>TotAct</t>
  </si>
  <si>
    <t>fSorb</t>
  </si>
  <si>
    <t>sfsorb</t>
  </si>
  <si>
    <t>pH</t>
  </si>
  <si>
    <t>spH</t>
  </si>
  <si>
    <t>RaGlasspH3_1A</t>
  </si>
  <si>
    <t>RaGlasspH3_1B</t>
  </si>
  <si>
    <t>RaGlasspH3_1C</t>
  </si>
  <si>
    <t>RaGlasspH5_1A</t>
  </si>
  <si>
    <t>RaGlasspH5_1B</t>
  </si>
  <si>
    <t>RaGlasspH5_1C</t>
  </si>
  <si>
    <t>RaGlasspH7_1A</t>
  </si>
  <si>
    <t>RaGlasspH7_1B</t>
  </si>
  <si>
    <t>RaGlasspH7_1C</t>
  </si>
  <si>
    <t>RaGlasspH9_1A</t>
  </si>
  <si>
    <t>RaGlasspH9_1B</t>
  </si>
  <si>
    <t>RaGlasspH9_1C</t>
  </si>
  <si>
    <t>RaGlasspH3_2A</t>
  </si>
  <si>
    <t>RaGlasspH3_2B</t>
  </si>
  <si>
    <t>RaGlasspH3_2C</t>
  </si>
  <si>
    <t>RaGlasspH3_3A</t>
  </si>
  <si>
    <t>RaGlasspH3_3B</t>
  </si>
  <si>
    <t>RaGlasspH3_3C</t>
  </si>
  <si>
    <t>RaGlasspH5_2A</t>
  </si>
  <si>
    <t>RaGlasspH5_2B</t>
  </si>
  <si>
    <t>RaGlasspH5_2C</t>
  </si>
  <si>
    <t>RaGlasspH5_3A</t>
  </si>
  <si>
    <t>RaGlasspH5_3B</t>
  </si>
  <si>
    <t>RaGlasspH5_3C</t>
  </si>
  <si>
    <t>RaGlasspH7_2A</t>
  </si>
  <si>
    <t>RaGlasspH7_2B</t>
  </si>
  <si>
    <t>RaGlasspH7_2C</t>
  </si>
  <si>
    <t>RaGlasspH9_3A</t>
  </si>
  <si>
    <t>RaGlasspH9_3B</t>
  </si>
  <si>
    <t>RaGlasspH9_3C</t>
  </si>
  <si>
    <t>RaGlasspH7_3A</t>
  </si>
  <si>
    <t>RaGlasspH7_3B</t>
  </si>
  <si>
    <t>RaGlasspH7_3C</t>
  </si>
  <si>
    <t>RaGlasspH9_2A</t>
  </si>
  <si>
    <t>RaGlasspH9_2B</t>
  </si>
  <si>
    <t>RaGlasspH9_2C</t>
  </si>
  <si>
    <t>Ra_Stock_5</t>
  </si>
  <si>
    <t>None</t>
  </si>
  <si>
    <t>Gamma counter measured activity (Corrected for Geometry, Bq)</t>
  </si>
  <si>
    <t>Expected Activity (Bq)</t>
  </si>
  <si>
    <t>Scint Counter Activity, with RaStock5</t>
  </si>
  <si>
    <t>Error from Expected</t>
  </si>
  <si>
    <t>Scint Counter Activity, without RaStock5</t>
  </si>
  <si>
    <t>RaStock5</t>
  </si>
  <si>
    <t>RaStock4</t>
  </si>
  <si>
    <t>Average Rel Error</t>
  </si>
  <si>
    <t>Scintillation Counter Calibration</t>
  </si>
  <si>
    <t>CPS-&gt;Bq w/Background (RaStd only)</t>
  </si>
  <si>
    <t>cps-&gt;Bq (background, Stds, and RaStock 5)</t>
  </si>
  <si>
    <t>pH3_1</t>
  </si>
  <si>
    <t>pH3_2</t>
  </si>
  <si>
    <t>pH3_3</t>
  </si>
  <si>
    <t>pH5_1</t>
  </si>
  <si>
    <t>Count</t>
  </si>
  <si>
    <t>pH5_2</t>
  </si>
  <si>
    <t>pH5_3</t>
  </si>
  <si>
    <t>pH7_1</t>
  </si>
  <si>
    <t>pH7_2</t>
  </si>
  <si>
    <t>pH7_3</t>
  </si>
  <si>
    <t>pH9_1</t>
  </si>
  <si>
    <t>pH9_2</t>
  </si>
  <si>
    <t>pH9_3</t>
  </si>
  <si>
    <t>Nearly 0 Sorption</t>
  </si>
  <si>
    <t>Counts near tot activity</t>
  </si>
  <si>
    <t>Roughly 10% sorption</t>
  </si>
  <si>
    <t>Roughly 2% sorption</t>
  </si>
  <si>
    <t>Roughly 15% sorption</t>
  </si>
  <si>
    <t>Roughly 20% sorption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</si>
</sst>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11" fontId="2" fillId="0" borderId="0" xfId="0" applyNumberFormat="1" applyFont="1"/>
    <xf numFmtId="0" fontId="1" fillId="0" borderId="0" xfId="0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5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/>
    <xf numFmtId="0" fontId="0" fillId="0" borderId="0" xfId="0" applyFont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0" xfId="0" applyFont="1" applyFill="1" applyBorder="1"/>
    <xf numFmtId="0" fontId="0" fillId="0" borderId="0" xfId="0" applyBorder="1"/>
    <xf numFmtId="0" fontId="3" fillId="0" borderId="4" xfId="0" applyFont="1" applyFill="1" applyBorder="1" applyAlignment="1">
      <alignment horizontal="center" vertical="top"/>
    </xf>
    <xf numFmtId="0" fontId="2" fillId="0" borderId="4" xfId="0" applyFont="1" applyBorder="1"/>
    <xf numFmtId="11" fontId="2" fillId="0" borderId="4" xfId="0" applyNumberFormat="1" applyFont="1" applyBorder="1"/>
    <xf numFmtId="0" fontId="0" fillId="0" borderId="4" xfId="0" applyBorder="1"/>
    <xf numFmtId="0" fontId="2" fillId="0" borderId="0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Data'!$G$2:$G$8</c:f>
              <c:numCache>
                <c:formatCode>General</c:formatCode>
                <c:ptCount val="7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Data'!$B$38:$B$44</c:f>
              <c:numCache>
                <c:formatCode>General</c:formatCode>
                <c:ptCount val="7"/>
                <c:pt idx="0">
                  <c:v>0.1441714628506657</c:v>
                </c:pt>
                <c:pt idx="1">
                  <c:v>0.52694379154793525</c:v>
                </c:pt>
                <c:pt idx="2">
                  <c:v>2.2192609148432805</c:v>
                </c:pt>
                <c:pt idx="3">
                  <c:v>4.3002759088928997</c:v>
                </c:pt>
                <c:pt idx="4">
                  <c:v>21.183118079488228</c:v>
                </c:pt>
                <c:pt idx="5">
                  <c:v>42.563623553202696</c:v>
                </c:pt>
                <c:pt idx="6">
                  <c:v>213.90420976854736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20352"/>
        <c:axId val="213218784"/>
      </c:scatterChart>
      <c:valAx>
        <c:axId val="21322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218784"/>
        <c:crosses val="autoZero"/>
        <c:crossBetween val="midCat"/>
      </c:valAx>
      <c:valAx>
        <c:axId val="213218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220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519469016990174E-2"/>
          <c:y val="0.28624189833413682"/>
          <c:w val="0.83812820928248166"/>
          <c:h val="0.53549252771974931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Data'!$G$2:$G$9</c:f>
              <c:numCache>
                <c:formatCode>General</c:formatCode>
                <c:ptCount val="8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  <c:pt idx="7">
                  <c:v>921.74647887323954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Data'!$B$72:$B$79</c:f>
              <c:numCache>
                <c:formatCode>General</c:formatCode>
                <c:ptCount val="8"/>
                <c:pt idx="0">
                  <c:v>-0.86244335302746633</c:v>
                </c:pt>
                <c:pt idx="1">
                  <c:v>-0.46848823374427229</c:v>
                </c:pt>
                <c:pt idx="2">
                  <c:v>1.273270363178999</c:v>
                </c:pt>
                <c:pt idx="3">
                  <c:v>3.4150827376553288</c:v>
                </c:pt>
                <c:pt idx="4">
                  <c:v>20.791161420752843</c:v>
                </c:pt>
                <c:pt idx="5">
                  <c:v>42.796303780178178</c:v>
                </c:pt>
                <c:pt idx="6">
                  <c:v>219.142648643325</c:v>
                </c:pt>
                <c:pt idx="7">
                  <c:v>920.50054699429393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19960"/>
        <c:axId val="213217216"/>
      </c:scatterChart>
      <c:valAx>
        <c:axId val="213219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217216"/>
        <c:crosses val="autoZero"/>
        <c:crossBetween val="midCat"/>
      </c:valAx>
      <c:valAx>
        <c:axId val="213217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219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314326</xdr:colOff>
      <xdr:row>14</xdr:row>
      <xdr:rowOff>19049</xdr:rowOff>
    </xdr:from>
    <xdr:to>
      <xdr:col>13</xdr:col>
      <xdr:colOff>1214438</xdr:colOff>
      <xdr:row>40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1457326</xdr:colOff>
      <xdr:row>48</xdr:row>
      <xdr:rowOff>104774</xdr:rowOff>
    </xdr:from>
    <xdr:to>
      <xdr:col>15</xdr:col>
      <xdr:colOff>119062</xdr:colOff>
      <xdr:row>77</xdr:row>
      <xdr:rowOff>119061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Calibration Data Legacy"/>
      <sheetName val="Gamma Counter Multinuclide Stan"/>
      <sheetName val="Quality Control Notes"/>
      <sheetName val="Gamma Counter Geometry"/>
      <sheetName val="Scint Cocktail Testing"/>
      <sheetName val="Calibration Data"/>
      <sheetName val="Stock Log"/>
    </sheetNames>
    <sheetDataSet>
      <sheetData sheetId="0"/>
      <sheetData sheetId="1"/>
      <sheetData sheetId="2"/>
      <sheetData sheetId="3"/>
      <sheetData sheetId="4"/>
      <sheetData sheetId="5">
        <row r="6">
          <cell r="G6">
            <v>42.769009531437398</v>
          </cell>
        </row>
      </sheetData>
      <sheetData sheetId="6"/>
      <sheetData sheetId="7"/>
      <sheetData sheetId="8">
        <row r="6">
          <cell r="F6">
            <v>921.74647887323954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M21" sqref="M21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7">
        <v>42866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124</v>
      </c>
    </row>
    <row r="5" spans="1:5" x14ac:dyDescent="0.25">
      <c r="A5" t="s">
        <v>22</v>
      </c>
      <c r="B5" t="s">
        <v>123</v>
      </c>
    </row>
    <row r="6" spans="1:5" x14ac:dyDescent="0.25">
      <c r="A6" t="s">
        <v>6</v>
      </c>
      <c r="B6">
        <f>65.444/0.071</f>
        <v>921.74647887323954</v>
      </c>
      <c r="C6">
        <f>2.875/0.071</f>
        <v>40.492957746478879</v>
      </c>
      <c r="D6" t="s">
        <v>20</v>
      </c>
      <c r="E6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workbookViewId="0"/>
  </sheetViews>
  <sheetFormatPr defaultRowHeight="15" x14ac:dyDescent="0.25"/>
  <cols>
    <col min="1" max="1" width="14.85546875" bestFit="1" customWidth="1"/>
    <col min="2" max="2" width="14.570312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6">
        <v>42898.572222222225</v>
      </c>
      <c r="B2" t="s">
        <v>87</v>
      </c>
      <c r="C2">
        <v>11975.1</v>
      </c>
      <c r="D2">
        <v>0.57999999999999996</v>
      </c>
      <c r="E2">
        <v>0</v>
      </c>
      <c r="F2">
        <v>10.66</v>
      </c>
    </row>
    <row r="3" spans="1:6" x14ac:dyDescent="0.25">
      <c r="A3" s="16">
        <v>42898.572222222225</v>
      </c>
      <c r="B3" t="s">
        <v>88</v>
      </c>
      <c r="C3">
        <v>12185.2</v>
      </c>
      <c r="D3">
        <v>0.56999999999999995</v>
      </c>
      <c r="E3">
        <v>0</v>
      </c>
      <c r="F3">
        <v>21.33</v>
      </c>
    </row>
    <row r="4" spans="1:6" x14ac:dyDescent="0.25">
      <c r="A4" s="16">
        <v>42898.572222222225</v>
      </c>
      <c r="B4" t="s">
        <v>89</v>
      </c>
      <c r="C4">
        <v>12163.3</v>
      </c>
      <c r="D4">
        <v>0.56999999999999995</v>
      </c>
      <c r="E4">
        <v>0</v>
      </c>
      <c r="F4">
        <v>32.01</v>
      </c>
    </row>
    <row r="5" spans="1:6" x14ac:dyDescent="0.25">
      <c r="A5" s="16">
        <v>42898.572222222225</v>
      </c>
      <c r="B5" t="s">
        <v>99</v>
      </c>
      <c r="C5">
        <v>2495.1</v>
      </c>
      <c r="D5">
        <v>1.27</v>
      </c>
      <c r="E5">
        <v>0</v>
      </c>
      <c r="F5">
        <v>42.63</v>
      </c>
    </row>
    <row r="6" spans="1:6" x14ac:dyDescent="0.25">
      <c r="A6" s="16">
        <v>42898.572222222225</v>
      </c>
      <c r="B6" t="s">
        <v>100</v>
      </c>
      <c r="C6">
        <v>2602.8000000000002</v>
      </c>
      <c r="D6">
        <v>1.24</v>
      </c>
      <c r="E6">
        <v>0</v>
      </c>
      <c r="F6">
        <v>53.25</v>
      </c>
    </row>
    <row r="7" spans="1:6" x14ac:dyDescent="0.25">
      <c r="A7" s="16">
        <v>42898.572222222225</v>
      </c>
      <c r="B7" t="s">
        <v>101</v>
      </c>
      <c r="C7">
        <v>2546.5</v>
      </c>
      <c r="D7">
        <v>1.25</v>
      </c>
      <c r="E7">
        <v>0</v>
      </c>
      <c r="F7">
        <v>63.88</v>
      </c>
    </row>
    <row r="8" spans="1:6" x14ac:dyDescent="0.25">
      <c r="A8" s="16">
        <v>42898.572222222225</v>
      </c>
      <c r="B8" t="s">
        <v>102</v>
      </c>
      <c r="C8">
        <v>336</v>
      </c>
      <c r="D8">
        <v>3.45</v>
      </c>
      <c r="E8">
        <v>0.02</v>
      </c>
      <c r="F8">
        <v>74.5</v>
      </c>
    </row>
    <row r="9" spans="1:6" x14ac:dyDescent="0.25">
      <c r="A9" s="16">
        <v>42898.572222222225</v>
      </c>
      <c r="B9" t="s">
        <v>103</v>
      </c>
      <c r="C9">
        <v>312.39999999999998</v>
      </c>
      <c r="D9">
        <v>3.58</v>
      </c>
      <c r="E9">
        <v>0.03</v>
      </c>
      <c r="F9">
        <v>85.12</v>
      </c>
    </row>
    <row r="10" spans="1:6" x14ac:dyDescent="0.25">
      <c r="A10" s="16">
        <v>42898.572222222225</v>
      </c>
      <c r="B10" t="s">
        <v>104</v>
      </c>
      <c r="C10">
        <v>324.8</v>
      </c>
      <c r="D10">
        <v>3.51</v>
      </c>
      <c r="E10">
        <v>0.02</v>
      </c>
      <c r="F10">
        <v>95.74</v>
      </c>
    </row>
    <row r="11" spans="1:6" x14ac:dyDescent="0.25">
      <c r="A11" s="16">
        <v>42898.572222222225</v>
      </c>
      <c r="B11" t="s">
        <v>90</v>
      </c>
      <c r="C11">
        <v>11163.7</v>
      </c>
      <c r="D11">
        <v>0.6</v>
      </c>
      <c r="E11">
        <v>0</v>
      </c>
      <c r="F11">
        <v>106.41</v>
      </c>
    </row>
    <row r="12" spans="1:6" x14ac:dyDescent="0.25">
      <c r="A12" s="16">
        <v>42898.572222222225</v>
      </c>
      <c r="B12" t="s">
        <v>91</v>
      </c>
      <c r="C12">
        <v>11469</v>
      </c>
      <c r="D12">
        <v>0.59</v>
      </c>
      <c r="E12">
        <v>0</v>
      </c>
      <c r="F12">
        <v>117.08</v>
      </c>
    </row>
    <row r="13" spans="1:6" x14ac:dyDescent="0.25">
      <c r="A13" s="16">
        <v>42898.572222222225</v>
      </c>
      <c r="B13" t="s">
        <v>92</v>
      </c>
      <c r="C13">
        <v>11462.9</v>
      </c>
      <c r="D13">
        <v>0.59</v>
      </c>
      <c r="E13">
        <v>0</v>
      </c>
      <c r="F13">
        <v>127.76</v>
      </c>
    </row>
    <row r="14" spans="1:6" x14ac:dyDescent="0.25">
      <c r="A14" s="16">
        <v>42898.572222222225</v>
      </c>
      <c r="B14" t="s">
        <v>105</v>
      </c>
      <c r="C14">
        <v>2373.5</v>
      </c>
      <c r="D14">
        <v>1.3</v>
      </c>
      <c r="E14">
        <v>0</v>
      </c>
      <c r="F14">
        <v>138.5</v>
      </c>
    </row>
    <row r="15" spans="1:6" x14ac:dyDescent="0.25">
      <c r="A15" s="16">
        <v>42898.572222222225</v>
      </c>
      <c r="B15" t="s">
        <v>106</v>
      </c>
      <c r="C15">
        <v>2399.6</v>
      </c>
      <c r="D15">
        <v>1.29</v>
      </c>
      <c r="E15">
        <v>0</v>
      </c>
      <c r="F15">
        <v>149.13</v>
      </c>
    </row>
    <row r="16" spans="1:6" x14ac:dyDescent="0.25">
      <c r="A16" s="16">
        <v>42898.572222222225</v>
      </c>
      <c r="B16" t="s">
        <v>107</v>
      </c>
      <c r="C16">
        <v>2393.9</v>
      </c>
      <c r="D16">
        <v>1.29</v>
      </c>
      <c r="E16">
        <v>0</v>
      </c>
      <c r="F16">
        <v>159.76</v>
      </c>
    </row>
    <row r="17" spans="1:6" x14ac:dyDescent="0.25">
      <c r="A17" s="16">
        <v>42898.572222222225</v>
      </c>
      <c r="B17" t="s">
        <v>108</v>
      </c>
      <c r="C17">
        <v>350.5</v>
      </c>
      <c r="D17">
        <v>3.38</v>
      </c>
      <c r="E17">
        <v>0.03</v>
      </c>
      <c r="F17">
        <v>170.39</v>
      </c>
    </row>
    <row r="18" spans="1:6" x14ac:dyDescent="0.25">
      <c r="A18" s="16">
        <v>42898.572222222225</v>
      </c>
      <c r="B18" t="s">
        <v>109</v>
      </c>
      <c r="C18">
        <v>308.2</v>
      </c>
      <c r="D18">
        <v>3.6</v>
      </c>
      <c r="E18">
        <v>0.03</v>
      </c>
      <c r="F18">
        <v>181.02</v>
      </c>
    </row>
    <row r="19" spans="1:6" x14ac:dyDescent="0.25">
      <c r="A19" s="16">
        <v>42898.572222222225</v>
      </c>
      <c r="B19" t="s">
        <v>110</v>
      </c>
      <c r="C19">
        <v>303.10000000000002</v>
      </c>
      <c r="D19">
        <v>3.63</v>
      </c>
      <c r="E19">
        <v>0.03</v>
      </c>
      <c r="F19">
        <v>191.64</v>
      </c>
    </row>
    <row r="20" spans="1:6" x14ac:dyDescent="0.25">
      <c r="A20" s="16">
        <v>42898.572222222225</v>
      </c>
      <c r="B20" t="s">
        <v>93</v>
      </c>
      <c r="C20">
        <v>10245.799999999999</v>
      </c>
      <c r="D20">
        <v>0.62</v>
      </c>
      <c r="E20">
        <v>0.01</v>
      </c>
      <c r="F20">
        <v>202.34</v>
      </c>
    </row>
    <row r="21" spans="1:6" x14ac:dyDescent="0.25">
      <c r="A21" s="16">
        <v>42898.572222222225</v>
      </c>
      <c r="B21" t="s">
        <v>94</v>
      </c>
      <c r="C21">
        <v>10694.6</v>
      </c>
      <c r="D21">
        <v>0.61</v>
      </c>
      <c r="E21">
        <v>0</v>
      </c>
      <c r="F21">
        <v>213.01</v>
      </c>
    </row>
    <row r="22" spans="1:6" x14ac:dyDescent="0.25">
      <c r="A22" s="16">
        <v>42898.572222222225</v>
      </c>
      <c r="B22" t="s">
        <v>95</v>
      </c>
      <c r="C22">
        <v>10387.799999999999</v>
      </c>
      <c r="D22">
        <v>0.62</v>
      </c>
      <c r="E22">
        <v>0</v>
      </c>
      <c r="F22">
        <v>223.69</v>
      </c>
    </row>
    <row r="23" spans="1:6" x14ac:dyDescent="0.25">
      <c r="A23" s="16">
        <v>42898.572222222225</v>
      </c>
      <c r="B23" t="s">
        <v>111</v>
      </c>
      <c r="C23">
        <v>2275.6</v>
      </c>
      <c r="D23">
        <v>1.33</v>
      </c>
      <c r="E23">
        <v>0.01</v>
      </c>
      <c r="F23">
        <v>234.33</v>
      </c>
    </row>
    <row r="24" spans="1:6" x14ac:dyDescent="0.25">
      <c r="A24" s="16">
        <v>42898.572222222225</v>
      </c>
      <c r="B24" t="s">
        <v>112</v>
      </c>
      <c r="C24">
        <v>2172.9</v>
      </c>
      <c r="D24">
        <v>1.36</v>
      </c>
      <c r="E24">
        <v>0.01</v>
      </c>
      <c r="F24">
        <v>244.96</v>
      </c>
    </row>
    <row r="25" spans="1:6" x14ac:dyDescent="0.25">
      <c r="A25" s="16">
        <v>42898.572222222225</v>
      </c>
      <c r="B25" t="s">
        <v>113</v>
      </c>
      <c r="C25">
        <v>2261.6</v>
      </c>
      <c r="D25">
        <v>1.33</v>
      </c>
      <c r="E25">
        <v>0.01</v>
      </c>
      <c r="F25">
        <v>255.6</v>
      </c>
    </row>
    <row r="26" spans="1:6" x14ac:dyDescent="0.25">
      <c r="A26" s="16">
        <v>42898.572222222225</v>
      </c>
      <c r="B26" t="s">
        <v>117</v>
      </c>
      <c r="C26">
        <v>410.1</v>
      </c>
      <c r="D26">
        <v>3.12</v>
      </c>
      <c r="E26">
        <v>0.02</v>
      </c>
      <c r="F26">
        <v>266.33999999999997</v>
      </c>
    </row>
    <row r="27" spans="1:6" x14ac:dyDescent="0.25">
      <c r="A27" s="16">
        <v>42898.572222222225</v>
      </c>
      <c r="B27" t="s">
        <v>118</v>
      </c>
      <c r="C27">
        <v>342.4</v>
      </c>
      <c r="D27">
        <v>3.42</v>
      </c>
      <c r="E27">
        <v>0.02</v>
      </c>
      <c r="F27">
        <v>276.95999999999998</v>
      </c>
    </row>
    <row r="28" spans="1:6" x14ac:dyDescent="0.25">
      <c r="A28" s="16">
        <v>42898.572222222225</v>
      </c>
      <c r="B28" t="s">
        <v>119</v>
      </c>
      <c r="C28">
        <v>280.10000000000002</v>
      </c>
      <c r="D28">
        <v>3.78</v>
      </c>
      <c r="E28">
        <v>0.03</v>
      </c>
      <c r="F28">
        <v>287.58999999999997</v>
      </c>
    </row>
    <row r="29" spans="1:6" x14ac:dyDescent="0.25">
      <c r="A29" s="16">
        <v>42898.572222222225</v>
      </c>
      <c r="B29" t="s">
        <v>96</v>
      </c>
      <c r="C29">
        <v>9251.4</v>
      </c>
      <c r="D29">
        <v>0.66</v>
      </c>
      <c r="E29">
        <v>0</v>
      </c>
      <c r="F29">
        <v>298.27</v>
      </c>
    </row>
    <row r="30" spans="1:6" x14ac:dyDescent="0.25">
      <c r="A30" s="16">
        <v>42898.572222222225</v>
      </c>
      <c r="B30" t="s">
        <v>97</v>
      </c>
      <c r="C30">
        <v>10220.299999999999</v>
      </c>
      <c r="D30">
        <v>0.63</v>
      </c>
      <c r="E30">
        <v>0</v>
      </c>
      <c r="F30">
        <v>308.95</v>
      </c>
    </row>
    <row r="31" spans="1:6" x14ac:dyDescent="0.25">
      <c r="A31" s="16">
        <v>42898.572222222225</v>
      </c>
      <c r="B31" t="s">
        <v>98</v>
      </c>
      <c r="C31">
        <v>10144.799999999999</v>
      </c>
      <c r="D31">
        <v>0.63</v>
      </c>
      <c r="E31">
        <v>0</v>
      </c>
      <c r="F31">
        <v>319.62</v>
      </c>
    </row>
    <row r="32" spans="1:6" x14ac:dyDescent="0.25">
      <c r="A32" s="16">
        <v>42898.572222222225</v>
      </c>
      <c r="B32" t="s">
        <v>120</v>
      </c>
      <c r="C32">
        <v>2009.1</v>
      </c>
      <c r="D32">
        <v>1.41</v>
      </c>
      <c r="E32">
        <v>0.01</v>
      </c>
      <c r="F32">
        <v>330.27</v>
      </c>
    </row>
    <row r="33" spans="1:6" x14ac:dyDescent="0.25">
      <c r="A33" s="16">
        <v>42898.572222222225</v>
      </c>
      <c r="B33" t="s">
        <v>121</v>
      </c>
      <c r="C33">
        <v>2034.2</v>
      </c>
      <c r="D33">
        <v>1.4</v>
      </c>
      <c r="E33">
        <v>0.01</v>
      </c>
      <c r="F33">
        <v>340.9</v>
      </c>
    </row>
    <row r="34" spans="1:6" x14ac:dyDescent="0.25">
      <c r="A34" s="16">
        <v>42898.572222222225</v>
      </c>
      <c r="B34" t="s">
        <v>122</v>
      </c>
      <c r="C34">
        <v>2155.4</v>
      </c>
      <c r="D34">
        <v>1.36</v>
      </c>
      <c r="E34">
        <v>0</v>
      </c>
      <c r="F34">
        <v>351.53</v>
      </c>
    </row>
    <row r="35" spans="1:6" x14ac:dyDescent="0.25">
      <c r="A35" s="16">
        <v>42898.572222222225</v>
      </c>
      <c r="B35" t="s">
        <v>114</v>
      </c>
      <c r="C35">
        <v>414.7</v>
      </c>
      <c r="D35">
        <v>3.11</v>
      </c>
      <c r="E35">
        <v>0.02</v>
      </c>
      <c r="F35">
        <v>362.16</v>
      </c>
    </row>
    <row r="36" spans="1:6" x14ac:dyDescent="0.25">
      <c r="A36" s="16">
        <v>42898.572222222225</v>
      </c>
      <c r="B36" t="s">
        <v>115</v>
      </c>
      <c r="C36">
        <v>287.3</v>
      </c>
      <c r="D36">
        <v>3.73</v>
      </c>
      <c r="E36">
        <v>0.03</v>
      </c>
      <c r="F36">
        <v>372.79</v>
      </c>
    </row>
    <row r="37" spans="1:6" x14ac:dyDescent="0.25">
      <c r="A37" s="16">
        <v>42898.572222222225</v>
      </c>
      <c r="B37" t="s">
        <v>116</v>
      </c>
      <c r="C37">
        <v>365.9</v>
      </c>
      <c r="D37">
        <v>3.31</v>
      </c>
      <c r="E37">
        <v>0.03</v>
      </c>
      <c r="F37">
        <v>383.42</v>
      </c>
    </row>
    <row r="38" spans="1:6" x14ac:dyDescent="0.25">
      <c r="A38" s="16">
        <v>42899.441666666666</v>
      </c>
      <c r="B38" t="s">
        <v>87</v>
      </c>
      <c r="C38">
        <v>11934.9</v>
      </c>
      <c r="D38">
        <v>0.57999999999999996</v>
      </c>
      <c r="E38">
        <v>0</v>
      </c>
      <c r="F38">
        <v>10.57</v>
      </c>
    </row>
    <row r="39" spans="1:6" x14ac:dyDescent="0.25">
      <c r="A39" s="16">
        <v>42899.441666666666</v>
      </c>
      <c r="B39" t="s">
        <v>88</v>
      </c>
      <c r="C39">
        <v>12225.1</v>
      </c>
      <c r="D39">
        <v>0.56999999999999995</v>
      </c>
      <c r="E39">
        <v>0</v>
      </c>
      <c r="F39">
        <v>21.24</v>
      </c>
    </row>
    <row r="40" spans="1:6" x14ac:dyDescent="0.25">
      <c r="A40" s="16">
        <v>42899.441666666666</v>
      </c>
      <c r="B40" t="s">
        <v>89</v>
      </c>
      <c r="C40">
        <v>12018.8</v>
      </c>
      <c r="D40">
        <v>0.57999999999999996</v>
      </c>
      <c r="E40">
        <v>0</v>
      </c>
      <c r="F40">
        <v>31.89</v>
      </c>
    </row>
    <row r="41" spans="1:6" x14ac:dyDescent="0.25">
      <c r="A41" s="16">
        <v>42899.441666666666</v>
      </c>
      <c r="B41" t="s">
        <v>99</v>
      </c>
      <c r="C41">
        <v>2492.6999999999998</v>
      </c>
      <c r="D41">
        <v>1.27</v>
      </c>
      <c r="E41">
        <v>0</v>
      </c>
      <c r="F41">
        <v>42.51</v>
      </c>
    </row>
    <row r="42" spans="1:6" x14ac:dyDescent="0.25">
      <c r="A42" s="16">
        <v>42899.441666666666</v>
      </c>
      <c r="B42" t="s">
        <v>100</v>
      </c>
      <c r="C42">
        <v>2580.4</v>
      </c>
      <c r="D42">
        <v>1.25</v>
      </c>
      <c r="E42">
        <v>0</v>
      </c>
      <c r="F42">
        <v>53.15</v>
      </c>
    </row>
    <row r="43" spans="1:6" x14ac:dyDescent="0.25">
      <c r="A43" s="16">
        <v>42899.441666666666</v>
      </c>
      <c r="B43" t="s">
        <v>101</v>
      </c>
      <c r="C43">
        <v>2514.5</v>
      </c>
      <c r="D43">
        <v>1.26</v>
      </c>
      <c r="E43">
        <v>0</v>
      </c>
      <c r="F43">
        <v>63.76</v>
      </c>
    </row>
    <row r="44" spans="1:6" x14ac:dyDescent="0.25">
      <c r="A44" s="16">
        <v>42899.441666666666</v>
      </c>
      <c r="B44" t="s">
        <v>102</v>
      </c>
      <c r="C44">
        <v>344.4</v>
      </c>
      <c r="D44">
        <v>3.41</v>
      </c>
      <c r="E44">
        <v>0.02</v>
      </c>
      <c r="F44">
        <v>74.39</v>
      </c>
    </row>
    <row r="45" spans="1:6" x14ac:dyDescent="0.25">
      <c r="A45" s="16">
        <v>42899.441666666666</v>
      </c>
      <c r="B45" t="s">
        <v>103</v>
      </c>
      <c r="C45">
        <v>311.89999999999998</v>
      </c>
      <c r="D45">
        <v>3.58</v>
      </c>
      <c r="E45">
        <v>0.03</v>
      </c>
      <c r="F45">
        <v>85</v>
      </c>
    </row>
    <row r="46" spans="1:6" x14ac:dyDescent="0.25">
      <c r="A46" s="16">
        <v>42899.441666666666</v>
      </c>
      <c r="B46" t="s">
        <v>104</v>
      </c>
      <c r="C46">
        <v>309</v>
      </c>
      <c r="D46">
        <v>3.6</v>
      </c>
      <c r="E46">
        <v>0.02</v>
      </c>
      <c r="F46">
        <v>95.62</v>
      </c>
    </row>
    <row r="47" spans="1:6" x14ac:dyDescent="0.25">
      <c r="A47" s="16">
        <v>42899.441666666666</v>
      </c>
      <c r="B47" t="s">
        <v>90</v>
      </c>
      <c r="C47">
        <v>11110.7</v>
      </c>
      <c r="D47">
        <v>0.6</v>
      </c>
      <c r="E47">
        <v>0</v>
      </c>
      <c r="F47">
        <v>106.28</v>
      </c>
    </row>
    <row r="48" spans="1:6" x14ac:dyDescent="0.25">
      <c r="A48" s="16">
        <v>42899.441666666666</v>
      </c>
      <c r="B48" t="s">
        <v>91</v>
      </c>
      <c r="C48">
        <v>11362.2</v>
      </c>
      <c r="D48">
        <v>0.59</v>
      </c>
      <c r="E48">
        <v>0</v>
      </c>
      <c r="F48">
        <v>116.96</v>
      </c>
    </row>
    <row r="49" spans="1:6" x14ac:dyDescent="0.25">
      <c r="A49" s="16">
        <v>42899.441666666666</v>
      </c>
      <c r="B49" t="s">
        <v>92</v>
      </c>
      <c r="C49">
        <v>11311.8</v>
      </c>
      <c r="D49">
        <v>0.59</v>
      </c>
      <c r="E49">
        <v>0</v>
      </c>
      <c r="F49">
        <v>127.64</v>
      </c>
    </row>
    <row r="50" spans="1:6" x14ac:dyDescent="0.25">
      <c r="A50" s="16">
        <v>42899.441666666666</v>
      </c>
      <c r="B50" t="s">
        <v>105</v>
      </c>
      <c r="C50">
        <v>2322.1999999999998</v>
      </c>
      <c r="D50">
        <v>1.31</v>
      </c>
      <c r="E50">
        <v>0</v>
      </c>
      <c r="F50">
        <v>138.38</v>
      </c>
    </row>
    <row r="51" spans="1:6" x14ac:dyDescent="0.25">
      <c r="A51" s="16">
        <v>42899.441666666666</v>
      </c>
      <c r="B51" t="s">
        <v>106</v>
      </c>
      <c r="C51">
        <v>2383.1</v>
      </c>
      <c r="D51">
        <v>1.3</v>
      </c>
      <c r="E51">
        <v>0</v>
      </c>
      <c r="F51">
        <v>149.02000000000001</v>
      </c>
    </row>
    <row r="52" spans="1:6" x14ac:dyDescent="0.25">
      <c r="A52" s="16">
        <v>42899.441666666666</v>
      </c>
      <c r="B52" t="s">
        <v>107</v>
      </c>
      <c r="C52">
        <v>2403.3000000000002</v>
      </c>
      <c r="D52">
        <v>1.29</v>
      </c>
      <c r="E52">
        <v>0</v>
      </c>
      <c r="F52">
        <v>159.63999999999999</v>
      </c>
    </row>
    <row r="53" spans="1:6" x14ac:dyDescent="0.25">
      <c r="A53" s="16">
        <v>42899.441666666666</v>
      </c>
      <c r="B53" t="s">
        <v>108</v>
      </c>
      <c r="C53">
        <v>343.2</v>
      </c>
      <c r="D53">
        <v>3.41</v>
      </c>
      <c r="E53">
        <v>0.02</v>
      </c>
      <c r="F53">
        <v>170.27</v>
      </c>
    </row>
    <row r="54" spans="1:6" x14ac:dyDescent="0.25">
      <c r="A54" s="16">
        <v>42899.441666666666</v>
      </c>
      <c r="B54" t="s">
        <v>109</v>
      </c>
      <c r="C54">
        <v>303.60000000000002</v>
      </c>
      <c r="D54">
        <v>3.63</v>
      </c>
      <c r="E54">
        <v>0.03</v>
      </c>
      <c r="F54">
        <v>180.9</v>
      </c>
    </row>
    <row r="55" spans="1:6" x14ac:dyDescent="0.25">
      <c r="A55" s="16">
        <v>42899.441666666666</v>
      </c>
      <c r="B55" t="s">
        <v>110</v>
      </c>
      <c r="C55">
        <v>302.5</v>
      </c>
      <c r="D55">
        <v>3.64</v>
      </c>
      <c r="E55">
        <v>0.03</v>
      </c>
      <c r="F55">
        <v>191.52</v>
      </c>
    </row>
    <row r="56" spans="1:6" x14ac:dyDescent="0.25">
      <c r="A56" s="16">
        <v>42899.441666666666</v>
      </c>
      <c r="B56" t="s">
        <v>93</v>
      </c>
      <c r="C56">
        <v>10074.1</v>
      </c>
      <c r="D56">
        <v>0.63</v>
      </c>
      <c r="E56">
        <v>0</v>
      </c>
      <c r="F56">
        <v>202.2</v>
      </c>
    </row>
    <row r="57" spans="1:6" x14ac:dyDescent="0.25">
      <c r="A57" s="16">
        <v>42899.441666666666</v>
      </c>
      <c r="B57" t="s">
        <v>94</v>
      </c>
      <c r="C57">
        <v>10636.6</v>
      </c>
      <c r="D57">
        <v>0.61</v>
      </c>
      <c r="E57">
        <v>0</v>
      </c>
      <c r="F57">
        <v>212.87</v>
      </c>
    </row>
    <row r="58" spans="1:6" x14ac:dyDescent="0.25">
      <c r="A58" s="16">
        <v>42899.441666666666</v>
      </c>
      <c r="B58" t="s">
        <v>95</v>
      </c>
      <c r="C58">
        <v>10275.1</v>
      </c>
      <c r="D58">
        <v>0.62</v>
      </c>
      <c r="E58">
        <v>0</v>
      </c>
      <c r="F58">
        <v>223.55</v>
      </c>
    </row>
    <row r="59" spans="1:6" x14ac:dyDescent="0.25">
      <c r="A59" s="16">
        <v>42899.441666666666</v>
      </c>
      <c r="B59" t="s">
        <v>111</v>
      </c>
      <c r="C59">
        <v>2279.1999999999998</v>
      </c>
      <c r="D59">
        <v>1.32</v>
      </c>
      <c r="E59">
        <v>0</v>
      </c>
      <c r="F59">
        <v>234.18</v>
      </c>
    </row>
    <row r="60" spans="1:6" x14ac:dyDescent="0.25">
      <c r="A60" s="16">
        <v>42899.441666666666</v>
      </c>
      <c r="B60" t="s">
        <v>112</v>
      </c>
      <c r="C60">
        <v>2132.1999999999998</v>
      </c>
      <c r="D60">
        <v>1.37</v>
      </c>
      <c r="E60">
        <v>0</v>
      </c>
      <c r="F60">
        <v>244.81</v>
      </c>
    </row>
    <row r="61" spans="1:6" x14ac:dyDescent="0.25">
      <c r="A61" s="16">
        <v>42899.441666666666</v>
      </c>
      <c r="B61" t="s">
        <v>113</v>
      </c>
      <c r="C61">
        <v>2193.3000000000002</v>
      </c>
      <c r="D61">
        <v>1.35</v>
      </c>
      <c r="E61">
        <v>0</v>
      </c>
      <c r="F61">
        <v>255.44</v>
      </c>
    </row>
    <row r="62" spans="1:6" x14ac:dyDescent="0.25">
      <c r="A62" s="16">
        <v>42899.441666666666</v>
      </c>
      <c r="B62" t="s">
        <v>117</v>
      </c>
      <c r="C62">
        <v>407</v>
      </c>
      <c r="D62">
        <v>3.13</v>
      </c>
      <c r="E62">
        <v>0.02</v>
      </c>
      <c r="F62">
        <v>266.17</v>
      </c>
    </row>
    <row r="63" spans="1:6" x14ac:dyDescent="0.25">
      <c r="A63" s="16">
        <v>42899.441666666666</v>
      </c>
      <c r="B63" t="s">
        <v>118</v>
      </c>
      <c r="C63">
        <v>362.8</v>
      </c>
      <c r="D63">
        <v>3.32</v>
      </c>
      <c r="E63">
        <v>0.02</v>
      </c>
      <c r="F63">
        <v>276.77999999999997</v>
      </c>
    </row>
    <row r="64" spans="1:6" x14ac:dyDescent="0.25">
      <c r="A64" s="16">
        <v>42899.441666666666</v>
      </c>
      <c r="B64" t="s">
        <v>119</v>
      </c>
      <c r="C64">
        <v>287.7</v>
      </c>
      <c r="D64">
        <v>3.73</v>
      </c>
      <c r="E64">
        <v>0.03</v>
      </c>
      <c r="F64">
        <v>287.42</v>
      </c>
    </row>
    <row r="65" spans="1:6" x14ac:dyDescent="0.25">
      <c r="A65" s="16">
        <v>42899.441666666666</v>
      </c>
      <c r="B65" t="s">
        <v>96</v>
      </c>
      <c r="C65">
        <v>9173</v>
      </c>
      <c r="D65">
        <v>0.66</v>
      </c>
      <c r="E65">
        <v>0</v>
      </c>
      <c r="F65">
        <v>298.08</v>
      </c>
    </row>
    <row r="66" spans="1:6" x14ac:dyDescent="0.25">
      <c r="A66" s="16">
        <v>42899.441666666666</v>
      </c>
      <c r="B66" t="s">
        <v>97</v>
      </c>
      <c r="C66">
        <v>10129.9</v>
      </c>
      <c r="D66">
        <v>0.63</v>
      </c>
      <c r="E66">
        <v>0</v>
      </c>
      <c r="F66">
        <v>308.75</v>
      </c>
    </row>
    <row r="67" spans="1:6" x14ac:dyDescent="0.25">
      <c r="A67" s="16">
        <v>42899.441666666666</v>
      </c>
      <c r="B67" t="s">
        <v>98</v>
      </c>
      <c r="C67">
        <v>10064.9</v>
      </c>
      <c r="D67">
        <v>0.63</v>
      </c>
      <c r="E67">
        <v>0</v>
      </c>
      <c r="F67">
        <v>319.42</v>
      </c>
    </row>
    <row r="68" spans="1:6" x14ac:dyDescent="0.25">
      <c r="A68" s="16">
        <v>42899.441666666666</v>
      </c>
      <c r="B68" t="s">
        <v>120</v>
      </c>
      <c r="C68">
        <v>2048</v>
      </c>
      <c r="D68">
        <v>1.4</v>
      </c>
      <c r="E68">
        <v>0.01</v>
      </c>
      <c r="F68">
        <v>330.05</v>
      </c>
    </row>
    <row r="69" spans="1:6" x14ac:dyDescent="0.25">
      <c r="A69" s="16">
        <v>42899.441666666666</v>
      </c>
      <c r="B69" t="s">
        <v>121</v>
      </c>
      <c r="C69">
        <v>2051.9</v>
      </c>
      <c r="D69">
        <v>1.4</v>
      </c>
      <c r="E69">
        <v>0</v>
      </c>
      <c r="F69">
        <v>340.68</v>
      </c>
    </row>
    <row r="70" spans="1:6" x14ac:dyDescent="0.25">
      <c r="A70" s="16">
        <v>42899.441666666666</v>
      </c>
      <c r="B70" t="s">
        <v>122</v>
      </c>
      <c r="C70">
        <v>2152.1</v>
      </c>
      <c r="D70">
        <v>1.36</v>
      </c>
      <c r="E70">
        <v>0</v>
      </c>
      <c r="F70">
        <v>351.31</v>
      </c>
    </row>
    <row r="71" spans="1:6" x14ac:dyDescent="0.25">
      <c r="A71" s="16">
        <v>42899.441666666666</v>
      </c>
      <c r="B71" t="s">
        <v>114</v>
      </c>
      <c r="C71">
        <v>408.4</v>
      </c>
      <c r="D71">
        <v>3.13</v>
      </c>
      <c r="E71">
        <v>0.02</v>
      </c>
      <c r="F71">
        <v>361.94</v>
      </c>
    </row>
    <row r="72" spans="1:6" x14ac:dyDescent="0.25">
      <c r="A72" s="16">
        <v>42899.441666666666</v>
      </c>
      <c r="B72" t="s">
        <v>115</v>
      </c>
      <c r="C72">
        <v>284.8</v>
      </c>
      <c r="D72">
        <v>3.75</v>
      </c>
      <c r="E72">
        <v>0.03</v>
      </c>
      <c r="F72">
        <v>372.57</v>
      </c>
    </row>
    <row r="73" spans="1:6" x14ac:dyDescent="0.25">
      <c r="A73" s="16">
        <v>42899.441666666666</v>
      </c>
      <c r="B73" t="s">
        <v>116</v>
      </c>
      <c r="C73">
        <v>358.5</v>
      </c>
      <c r="D73">
        <v>3.34</v>
      </c>
      <c r="E73">
        <v>0.02</v>
      </c>
      <c r="F73">
        <v>383.2</v>
      </c>
    </row>
    <row r="74" spans="1:6" x14ac:dyDescent="0.25">
      <c r="A74" s="16">
        <v>42899.631249999999</v>
      </c>
      <c r="B74" t="s">
        <v>87</v>
      </c>
      <c r="C74">
        <v>11942</v>
      </c>
      <c r="D74">
        <v>0.57999999999999996</v>
      </c>
      <c r="E74">
        <v>0</v>
      </c>
      <c r="F74">
        <v>10.57</v>
      </c>
    </row>
    <row r="75" spans="1:6" x14ac:dyDescent="0.25">
      <c r="A75" s="16">
        <v>42899.631249999999</v>
      </c>
      <c r="B75" t="s">
        <v>88</v>
      </c>
      <c r="C75">
        <v>12216.4</v>
      </c>
      <c r="D75">
        <v>0.56999999999999995</v>
      </c>
      <c r="E75">
        <v>0</v>
      </c>
      <c r="F75">
        <v>21.22</v>
      </c>
    </row>
    <row r="76" spans="1:6" x14ac:dyDescent="0.25">
      <c r="A76" s="16">
        <v>42899.631249999999</v>
      </c>
      <c r="B76" t="s">
        <v>89</v>
      </c>
      <c r="C76">
        <v>12070.1</v>
      </c>
      <c r="D76">
        <v>0.57999999999999996</v>
      </c>
      <c r="E76">
        <v>0</v>
      </c>
      <c r="F76">
        <v>31.89</v>
      </c>
    </row>
    <row r="77" spans="1:6" x14ac:dyDescent="0.25">
      <c r="A77" s="16">
        <v>42899.631249999999</v>
      </c>
      <c r="B77" t="s">
        <v>99</v>
      </c>
      <c r="C77">
        <v>2493.8000000000002</v>
      </c>
      <c r="D77">
        <v>1.27</v>
      </c>
      <c r="E77">
        <v>0.01</v>
      </c>
      <c r="F77">
        <v>42.52</v>
      </c>
    </row>
    <row r="78" spans="1:6" x14ac:dyDescent="0.25">
      <c r="A78" s="16">
        <v>42899.631249999999</v>
      </c>
      <c r="B78" t="s">
        <v>100</v>
      </c>
      <c r="C78">
        <v>2602</v>
      </c>
      <c r="D78">
        <v>1.24</v>
      </c>
      <c r="E78">
        <v>0</v>
      </c>
      <c r="F78">
        <v>53.15</v>
      </c>
    </row>
    <row r="79" spans="1:6" x14ac:dyDescent="0.25">
      <c r="A79" s="16">
        <v>42899.631249999999</v>
      </c>
      <c r="B79" t="s">
        <v>101</v>
      </c>
      <c r="C79">
        <v>2507.5</v>
      </c>
      <c r="D79">
        <v>1.26</v>
      </c>
      <c r="E79">
        <v>0</v>
      </c>
      <c r="F79">
        <v>63.79</v>
      </c>
    </row>
    <row r="80" spans="1:6" x14ac:dyDescent="0.25">
      <c r="A80" s="16">
        <v>42899.631249999999</v>
      </c>
      <c r="B80" t="s">
        <v>102</v>
      </c>
      <c r="C80">
        <v>348.1</v>
      </c>
      <c r="D80">
        <v>3.39</v>
      </c>
      <c r="E80">
        <v>0.03</v>
      </c>
      <c r="F80">
        <v>74.41</v>
      </c>
    </row>
    <row r="81" spans="1:6" x14ac:dyDescent="0.25">
      <c r="A81" s="16">
        <v>42899.631249999999</v>
      </c>
      <c r="B81" t="s">
        <v>103</v>
      </c>
      <c r="C81">
        <v>302.5</v>
      </c>
      <c r="D81">
        <v>3.64</v>
      </c>
      <c r="E81">
        <v>0.03</v>
      </c>
      <c r="F81">
        <v>85.04</v>
      </c>
    </row>
    <row r="82" spans="1:6" x14ac:dyDescent="0.25">
      <c r="A82" s="16">
        <v>42899.631249999999</v>
      </c>
      <c r="B82" t="s">
        <v>104</v>
      </c>
      <c r="C82">
        <v>302.39999999999998</v>
      </c>
      <c r="D82">
        <v>3.64</v>
      </c>
      <c r="E82">
        <v>0.03</v>
      </c>
      <c r="F82">
        <v>95.66</v>
      </c>
    </row>
    <row r="83" spans="1:6" x14ac:dyDescent="0.25">
      <c r="A83" s="16">
        <v>42899.631249999999</v>
      </c>
      <c r="B83" t="s">
        <v>90</v>
      </c>
      <c r="C83">
        <v>11040</v>
      </c>
      <c r="D83">
        <v>0.6</v>
      </c>
      <c r="E83">
        <v>0</v>
      </c>
      <c r="F83">
        <v>106.33</v>
      </c>
    </row>
    <row r="84" spans="1:6" x14ac:dyDescent="0.25">
      <c r="A84" s="16">
        <v>42899.631249999999</v>
      </c>
      <c r="B84" t="s">
        <v>91</v>
      </c>
      <c r="C84">
        <v>11290.6</v>
      </c>
      <c r="D84">
        <v>0.6</v>
      </c>
      <c r="E84">
        <v>0</v>
      </c>
      <c r="F84">
        <v>117.01</v>
      </c>
    </row>
    <row r="85" spans="1:6" x14ac:dyDescent="0.25">
      <c r="A85" s="16">
        <v>42899.631249999999</v>
      </c>
      <c r="B85" t="s">
        <v>92</v>
      </c>
      <c r="C85">
        <v>11373.5</v>
      </c>
      <c r="D85">
        <v>0.59</v>
      </c>
      <c r="E85">
        <v>0</v>
      </c>
      <c r="F85">
        <v>127.67</v>
      </c>
    </row>
    <row r="86" spans="1:6" x14ac:dyDescent="0.25">
      <c r="A86" s="16">
        <v>42899.631249999999</v>
      </c>
      <c r="B86" t="s">
        <v>105</v>
      </c>
      <c r="C86">
        <v>2399.6</v>
      </c>
      <c r="D86">
        <v>1.29</v>
      </c>
      <c r="E86">
        <v>0</v>
      </c>
      <c r="F86">
        <v>138.41999999999999</v>
      </c>
    </row>
    <row r="87" spans="1:6" x14ac:dyDescent="0.25">
      <c r="A87" s="16">
        <v>42899.631249999999</v>
      </c>
      <c r="B87" t="s">
        <v>106</v>
      </c>
      <c r="C87">
        <v>2401</v>
      </c>
      <c r="D87">
        <v>1.29</v>
      </c>
      <c r="E87">
        <v>0</v>
      </c>
      <c r="F87">
        <v>149.05000000000001</v>
      </c>
    </row>
    <row r="88" spans="1:6" x14ac:dyDescent="0.25">
      <c r="A88" s="16">
        <v>42899.631249999999</v>
      </c>
      <c r="B88" t="s">
        <v>107</v>
      </c>
      <c r="C88">
        <v>2436.1</v>
      </c>
      <c r="D88">
        <v>1.28</v>
      </c>
      <c r="E88">
        <v>0</v>
      </c>
      <c r="F88">
        <v>159.68</v>
      </c>
    </row>
    <row r="89" spans="1:6" x14ac:dyDescent="0.25">
      <c r="A89" s="16">
        <v>42899.631249999999</v>
      </c>
      <c r="B89" t="s">
        <v>108</v>
      </c>
      <c r="C89">
        <v>343.9</v>
      </c>
      <c r="D89">
        <v>3.41</v>
      </c>
      <c r="E89">
        <v>0.03</v>
      </c>
      <c r="F89">
        <v>170.3</v>
      </c>
    </row>
    <row r="90" spans="1:6" x14ac:dyDescent="0.25">
      <c r="A90" s="16">
        <v>42899.631249999999</v>
      </c>
      <c r="B90" t="s">
        <v>109</v>
      </c>
      <c r="C90">
        <v>319.2</v>
      </c>
      <c r="D90">
        <v>3.54</v>
      </c>
      <c r="E90">
        <v>0.03</v>
      </c>
      <c r="F90">
        <v>180.92</v>
      </c>
    </row>
    <row r="91" spans="1:6" x14ac:dyDescent="0.25">
      <c r="A91" s="16">
        <v>42899.631249999999</v>
      </c>
      <c r="B91" t="s">
        <v>110</v>
      </c>
      <c r="C91">
        <v>303</v>
      </c>
      <c r="D91">
        <v>3.63</v>
      </c>
      <c r="E91">
        <v>0.03</v>
      </c>
      <c r="F91">
        <v>191.55</v>
      </c>
    </row>
    <row r="92" spans="1:6" x14ac:dyDescent="0.25">
      <c r="A92" s="16">
        <v>42899.631249999999</v>
      </c>
      <c r="B92" t="s">
        <v>93</v>
      </c>
      <c r="C92">
        <v>10133.5</v>
      </c>
      <c r="D92">
        <v>0.63</v>
      </c>
      <c r="E92">
        <v>0</v>
      </c>
      <c r="F92">
        <v>202.24</v>
      </c>
    </row>
    <row r="93" spans="1:6" x14ac:dyDescent="0.25">
      <c r="A93" s="16">
        <v>42899.631249999999</v>
      </c>
      <c r="B93" t="s">
        <v>94</v>
      </c>
      <c r="C93">
        <v>10620.5</v>
      </c>
      <c r="D93">
        <v>0.61</v>
      </c>
      <c r="E93">
        <v>0</v>
      </c>
      <c r="F93">
        <v>212.9</v>
      </c>
    </row>
    <row r="94" spans="1:6" x14ac:dyDescent="0.25">
      <c r="A94" s="16">
        <v>42899.631249999999</v>
      </c>
      <c r="B94" t="s">
        <v>95</v>
      </c>
      <c r="C94">
        <v>10334.799999999999</v>
      </c>
      <c r="D94">
        <v>0.62</v>
      </c>
      <c r="E94">
        <v>0</v>
      </c>
      <c r="F94">
        <v>223.56</v>
      </c>
    </row>
    <row r="95" spans="1:6" x14ac:dyDescent="0.25">
      <c r="A95" s="16">
        <v>42899.631249999999</v>
      </c>
      <c r="B95" t="s">
        <v>111</v>
      </c>
      <c r="C95">
        <v>2230.6</v>
      </c>
      <c r="D95">
        <v>1.34</v>
      </c>
      <c r="E95">
        <v>0</v>
      </c>
      <c r="F95">
        <v>234.2</v>
      </c>
    </row>
    <row r="96" spans="1:6" x14ac:dyDescent="0.25">
      <c r="A96" s="16">
        <v>42899.631249999999</v>
      </c>
      <c r="B96" t="s">
        <v>112</v>
      </c>
      <c r="C96">
        <v>2152.9</v>
      </c>
      <c r="D96">
        <v>1.36</v>
      </c>
      <c r="E96">
        <v>0</v>
      </c>
      <c r="F96">
        <v>244.83</v>
      </c>
    </row>
    <row r="97" spans="1:6" x14ac:dyDescent="0.25">
      <c r="A97" s="16">
        <v>42899.631249999999</v>
      </c>
      <c r="B97" t="s">
        <v>113</v>
      </c>
      <c r="C97">
        <v>2233.5</v>
      </c>
      <c r="D97">
        <v>1.34</v>
      </c>
      <c r="E97">
        <v>0</v>
      </c>
      <c r="F97">
        <v>255.46</v>
      </c>
    </row>
    <row r="98" spans="1:6" x14ac:dyDescent="0.25">
      <c r="A98" s="16">
        <v>42899.631249999999</v>
      </c>
      <c r="B98" t="s">
        <v>117</v>
      </c>
      <c r="C98">
        <v>410</v>
      </c>
      <c r="D98">
        <v>3.12</v>
      </c>
      <c r="E98">
        <v>0.02</v>
      </c>
      <c r="F98">
        <v>266.18</v>
      </c>
    </row>
    <row r="99" spans="1:6" x14ac:dyDescent="0.25">
      <c r="A99" s="16">
        <v>42899.631249999999</v>
      </c>
      <c r="B99" t="s">
        <v>118</v>
      </c>
      <c r="C99">
        <v>341.9</v>
      </c>
      <c r="D99">
        <v>3.42</v>
      </c>
      <c r="E99">
        <v>0.02</v>
      </c>
      <c r="F99">
        <v>276.82</v>
      </c>
    </row>
    <row r="100" spans="1:6" x14ac:dyDescent="0.25">
      <c r="A100" s="16">
        <v>42899.631249999999</v>
      </c>
      <c r="B100" t="s">
        <v>119</v>
      </c>
      <c r="C100">
        <v>292.89999999999998</v>
      </c>
      <c r="D100">
        <v>3.7</v>
      </c>
      <c r="E100">
        <v>0.03</v>
      </c>
      <c r="F100">
        <v>287.44</v>
      </c>
    </row>
    <row r="101" spans="1:6" x14ac:dyDescent="0.25">
      <c r="A101" s="16">
        <v>42899.631249999999</v>
      </c>
      <c r="B101" t="s">
        <v>96</v>
      </c>
      <c r="C101">
        <v>9165.9</v>
      </c>
      <c r="D101">
        <v>0.66</v>
      </c>
      <c r="E101">
        <v>0</v>
      </c>
      <c r="F101">
        <v>298.11</v>
      </c>
    </row>
    <row r="102" spans="1:6" x14ac:dyDescent="0.25">
      <c r="A102" s="16">
        <v>42899.631249999999</v>
      </c>
      <c r="B102" t="s">
        <v>97</v>
      </c>
      <c r="C102">
        <v>10194.4</v>
      </c>
      <c r="D102">
        <v>0.63</v>
      </c>
      <c r="E102">
        <v>0</v>
      </c>
      <c r="F102">
        <v>308.79000000000002</v>
      </c>
    </row>
    <row r="103" spans="1:6" x14ac:dyDescent="0.25">
      <c r="A103" s="16">
        <v>42899.631249999999</v>
      </c>
      <c r="B103" t="s">
        <v>98</v>
      </c>
      <c r="C103">
        <v>10077</v>
      </c>
      <c r="D103">
        <v>0.63</v>
      </c>
      <c r="E103">
        <v>0</v>
      </c>
      <c r="F103">
        <v>319.44</v>
      </c>
    </row>
    <row r="104" spans="1:6" x14ac:dyDescent="0.25">
      <c r="A104" s="16">
        <v>42899.631249999999</v>
      </c>
      <c r="B104" t="s">
        <v>120</v>
      </c>
      <c r="C104">
        <v>2072.1</v>
      </c>
      <c r="D104">
        <v>1.39</v>
      </c>
      <c r="E104">
        <v>0.01</v>
      </c>
      <c r="F104">
        <v>330.08</v>
      </c>
    </row>
    <row r="105" spans="1:6" x14ac:dyDescent="0.25">
      <c r="A105" s="16">
        <v>42899.631249999999</v>
      </c>
      <c r="B105" t="s">
        <v>121</v>
      </c>
      <c r="C105">
        <v>2053.9</v>
      </c>
      <c r="D105">
        <v>1.4</v>
      </c>
      <c r="E105">
        <v>0</v>
      </c>
      <c r="F105">
        <v>340.71</v>
      </c>
    </row>
    <row r="106" spans="1:6" x14ac:dyDescent="0.25">
      <c r="A106" s="16">
        <v>42899.631249999999</v>
      </c>
      <c r="B106" t="s">
        <v>122</v>
      </c>
      <c r="C106">
        <v>2139.9</v>
      </c>
      <c r="D106">
        <v>1.37</v>
      </c>
      <c r="E106">
        <v>0</v>
      </c>
      <c r="F106">
        <v>351.34</v>
      </c>
    </row>
    <row r="107" spans="1:6" x14ac:dyDescent="0.25">
      <c r="A107" s="16">
        <v>42899.631249999999</v>
      </c>
      <c r="B107" t="s">
        <v>114</v>
      </c>
      <c r="C107">
        <v>402.9</v>
      </c>
      <c r="D107">
        <v>3.15</v>
      </c>
      <c r="E107">
        <v>0.02</v>
      </c>
      <c r="F107">
        <v>361.97</v>
      </c>
    </row>
    <row r="108" spans="1:6" x14ac:dyDescent="0.25">
      <c r="A108" s="16">
        <v>42899.631249999999</v>
      </c>
      <c r="B108" t="s">
        <v>115</v>
      </c>
      <c r="C108">
        <v>279.3</v>
      </c>
      <c r="D108">
        <v>3.78</v>
      </c>
      <c r="E108">
        <v>0.03</v>
      </c>
      <c r="F108">
        <v>372.61</v>
      </c>
    </row>
    <row r="109" spans="1:6" x14ac:dyDescent="0.25">
      <c r="A109" s="16">
        <v>42899.631249999999</v>
      </c>
      <c r="B109" t="s">
        <v>116</v>
      </c>
      <c r="C109">
        <v>371.1</v>
      </c>
      <c r="D109">
        <v>3.28</v>
      </c>
      <c r="E109">
        <v>0.02</v>
      </c>
      <c r="F109">
        <v>383.24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1"/>
  <sheetViews>
    <sheetView workbookViewId="0">
      <selection activeCell="F37" sqref="F37"/>
    </sheetView>
  </sheetViews>
  <sheetFormatPr defaultRowHeight="15" x14ac:dyDescent="0.25"/>
  <cols>
    <col min="1" max="1" width="30" style="2" bestFit="1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59" style="2" bestFit="1" customWidth="1"/>
    <col min="7" max="7" width="20.7109375" style="2" bestFit="1" customWidth="1"/>
    <col min="8" max="8" width="34.140625" style="2" bestFit="1" customWidth="1"/>
    <col min="9" max="9" width="34.140625" style="2" customWidth="1"/>
    <col min="10" max="10" width="37.140625" style="2" bestFit="1" customWidth="1"/>
    <col min="11" max="11" width="18.7109375" style="2" customWidth="1"/>
    <col min="12" max="12" width="32.85546875" bestFit="1" customWidth="1"/>
    <col min="13" max="13" width="34.7109375" bestFit="1" customWidth="1"/>
    <col min="14" max="14" width="35.5703125" bestFit="1" customWidth="1"/>
    <col min="15" max="15" width="14.5703125" bestFit="1" customWidth="1"/>
    <col min="23" max="23" width="18" bestFit="1" customWidth="1"/>
    <col min="24" max="24" width="12.7109375" bestFit="1" customWidth="1"/>
    <col min="25" max="25" width="12.7109375" style="19" customWidth="1"/>
    <col min="26" max="16384" width="9.140625" style="19"/>
  </cols>
  <sheetData>
    <row r="1" spans="1:24" x14ac:dyDescent="0.25">
      <c r="B1" s="3" t="s">
        <v>36</v>
      </c>
      <c r="C1" s="3" t="s">
        <v>37</v>
      </c>
      <c r="D1" s="4" t="s">
        <v>38</v>
      </c>
      <c r="E1" s="4" t="s">
        <v>21</v>
      </c>
      <c r="F1" s="2" t="s">
        <v>125</v>
      </c>
      <c r="G1" s="2" t="s">
        <v>126</v>
      </c>
      <c r="H1" s="2" t="s">
        <v>127</v>
      </c>
      <c r="I1" s="18" t="s">
        <v>128</v>
      </c>
      <c r="J1" s="18" t="s">
        <v>129</v>
      </c>
      <c r="K1" s="2" t="s">
        <v>128</v>
      </c>
      <c r="L1" s="2"/>
      <c r="M1" s="2"/>
      <c r="N1" s="2"/>
      <c r="O1" s="2"/>
    </row>
    <row r="2" spans="1:24" x14ac:dyDescent="0.25">
      <c r="A2" s="3" t="s">
        <v>39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G2" s="13">
        <f>0</f>
        <v>0</v>
      </c>
      <c r="H2" s="2">
        <f>D2*$B$65+$B$64</f>
        <v>-0.86244335302746633</v>
      </c>
      <c r="I2" s="2" t="e">
        <f t="shared" ref="I2:I9" si="0">ABS(H2-G2)/G2</f>
        <v>#DIV/0!</v>
      </c>
      <c r="J2" s="2">
        <f>D2*$B$31+$B$30</f>
        <v>0.1441714628506657</v>
      </c>
      <c r="K2" s="2" t="e">
        <f t="shared" ref="K2:K9" si="1">ABS(J2-G2)/G2</f>
        <v>#DIV/0!</v>
      </c>
    </row>
    <row r="3" spans="1:24" x14ac:dyDescent="0.25">
      <c r="A3" s="3" t="s">
        <v>30</v>
      </c>
      <c r="B3" s="2">
        <v>213.53333333333333</v>
      </c>
      <c r="C3" s="2">
        <v>4.5389670875898238</v>
      </c>
      <c r="D3" s="2">
        <f t="shared" ref="D3:E10" si="2">B3/60</f>
        <v>3.5588888888888888</v>
      </c>
      <c r="E3" s="2">
        <f t="shared" si="2"/>
        <v>7.5649451459830402E-2</v>
      </c>
      <c r="G3" s="13">
        <f>F7*0.01</f>
        <v>0.42769009531437396</v>
      </c>
      <c r="H3" s="2">
        <f t="shared" ref="H3:H9" si="3">D3*$B$65+$B$64</f>
        <v>-0.46848823374427229</v>
      </c>
      <c r="I3" s="2">
        <f t="shared" si="0"/>
        <v>2.0953918243065921</v>
      </c>
      <c r="J3" s="2">
        <f t="shared" ref="J3:J9" si="4">D3*$B$31+$B$30</f>
        <v>0.52694379154793525</v>
      </c>
      <c r="K3" s="2">
        <f t="shared" si="1"/>
        <v>0.23206919524429195</v>
      </c>
    </row>
    <row r="4" spans="1:24" x14ac:dyDescent="0.25">
      <c r="A4" s="3" t="s">
        <v>31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G4" s="13">
        <f>F7*0.05</f>
        <v>2.1384504765718702</v>
      </c>
      <c r="H4" s="2">
        <f t="shared" si="3"/>
        <v>1.273270363178999</v>
      </c>
      <c r="I4" s="2">
        <f t="shared" si="0"/>
        <v>0.40458272140107415</v>
      </c>
      <c r="J4" s="2">
        <f t="shared" si="4"/>
        <v>2.2192609148432805</v>
      </c>
      <c r="K4" s="2">
        <f t="shared" si="1"/>
        <v>3.7789249345141149E-2</v>
      </c>
    </row>
    <row r="5" spans="1:24" x14ac:dyDescent="0.25">
      <c r="A5" s="3" t="s">
        <v>32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G5" s="13">
        <f>F7*0.1</f>
        <v>4.2769009531437403</v>
      </c>
      <c r="H5" s="2">
        <f t="shared" si="3"/>
        <v>3.4150827376553288</v>
      </c>
      <c r="I5" s="2">
        <f t="shared" si="0"/>
        <v>0.20150530136895764</v>
      </c>
      <c r="J5" s="2">
        <f t="shared" si="4"/>
        <v>4.3002759088928997</v>
      </c>
      <c r="K5" s="2">
        <f t="shared" si="1"/>
        <v>5.465395622963303E-3</v>
      </c>
    </row>
    <row r="6" spans="1:24" x14ac:dyDescent="0.25">
      <c r="A6" s="3" t="s">
        <v>33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G6" s="13">
        <f>F7*0.5</f>
        <v>21.384504765718699</v>
      </c>
      <c r="H6" s="2">
        <f t="shared" si="3"/>
        <v>20.791161420752843</v>
      </c>
      <c r="I6" s="2">
        <f t="shared" si="0"/>
        <v>2.7746415054560394E-2</v>
      </c>
      <c r="J6" s="2">
        <f t="shared" si="4"/>
        <v>21.183118079488228</v>
      </c>
      <c r="K6" s="2">
        <f t="shared" si="1"/>
        <v>9.4174117397991877E-3</v>
      </c>
    </row>
    <row r="7" spans="1:24" x14ac:dyDescent="0.25">
      <c r="A7" s="3" t="s">
        <v>34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>
        <f>'[1]Gamma Counter Geometry'!G6</f>
        <v>42.769009531437398</v>
      </c>
      <c r="G7" s="13">
        <f>F7</f>
        <v>42.769009531437398</v>
      </c>
      <c r="H7" s="2">
        <f t="shared" si="3"/>
        <v>42.796303780178178</v>
      </c>
      <c r="I7" s="2">
        <f t="shared" si="0"/>
        <v>6.3817818181451417E-4</v>
      </c>
      <c r="J7" s="2">
        <f t="shared" si="4"/>
        <v>42.563623553202696</v>
      </c>
      <c r="K7" s="2">
        <f t="shared" si="1"/>
        <v>4.8022149796041616E-3</v>
      </c>
    </row>
    <row r="8" spans="1:24" x14ac:dyDescent="0.25">
      <c r="A8" s="3" t="s">
        <v>35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G8" s="13">
        <f>F7*5</f>
        <v>213.845047657187</v>
      </c>
      <c r="H8" s="2">
        <f t="shared" si="3"/>
        <v>219.142648643325</v>
      </c>
      <c r="I8" s="2">
        <f t="shared" si="0"/>
        <v>2.4773082398571806E-2</v>
      </c>
      <c r="J8" s="2">
        <f t="shared" si="4"/>
        <v>213.90420976854736</v>
      </c>
      <c r="K8" s="2">
        <f t="shared" si="1"/>
        <v>2.766587863900749E-4</v>
      </c>
    </row>
    <row r="9" spans="1:24" x14ac:dyDescent="0.25">
      <c r="A9" s="4" t="s">
        <v>130</v>
      </c>
      <c r="B9" s="2">
        <v>337473.1</v>
      </c>
      <c r="C9" s="2">
        <f>0.11/100*B9</f>
        <v>371.22041000000002</v>
      </c>
      <c r="D9" s="2">
        <f t="shared" si="2"/>
        <v>5624.5516666666663</v>
      </c>
      <c r="E9" s="2">
        <f t="shared" si="2"/>
        <v>6.1870068333333332</v>
      </c>
      <c r="F9">
        <f>'[1]Stock Log'!F6</f>
        <v>921.74647887323954</v>
      </c>
      <c r="G9" s="6">
        <f>F9</f>
        <v>921.74647887323954</v>
      </c>
      <c r="H9" s="2">
        <f t="shared" si="3"/>
        <v>920.50054699429393</v>
      </c>
      <c r="I9" s="2">
        <f t="shared" si="0"/>
        <v>1.3517077716083742E-3</v>
      </c>
      <c r="J9" s="2">
        <f t="shared" si="4"/>
        <v>895.35339740822087</v>
      </c>
      <c r="K9" s="2">
        <f t="shared" si="1"/>
        <v>2.8633775197364545E-2</v>
      </c>
    </row>
    <row r="10" spans="1:24" x14ac:dyDescent="0.25">
      <c r="A10" s="4" t="s">
        <v>131</v>
      </c>
      <c r="B10" s="18">
        <v>173514.3</v>
      </c>
      <c r="C10" s="2">
        <f>0.15/100*B10</f>
        <v>260.27145000000002</v>
      </c>
      <c r="D10" s="2">
        <f t="shared" si="2"/>
        <v>2891.9049999999997</v>
      </c>
      <c r="E10" s="2">
        <f t="shared" si="2"/>
        <v>4.3378575000000001</v>
      </c>
      <c r="F10"/>
      <c r="G10"/>
      <c r="H10" s="5"/>
      <c r="I10" s="5"/>
      <c r="J10" s="5"/>
      <c r="K10" s="5"/>
    </row>
    <row r="11" spans="1:24" x14ac:dyDescent="0.25">
      <c r="D11"/>
      <c r="F11"/>
      <c r="G11"/>
      <c r="H11" s="5" t="s">
        <v>132</v>
      </c>
      <c r="I11" s="5">
        <f>AVERAGE(I3:I9)</f>
        <v>0.39371274721188276</v>
      </c>
      <c r="J11" s="5"/>
      <c r="K11" s="5">
        <f>AVERAGE(K3:K8)</f>
        <v>4.8303354286364959E-2</v>
      </c>
    </row>
    <row r="12" spans="1:24" x14ac:dyDescent="0.25">
      <c r="A12" s="20" t="s">
        <v>133</v>
      </c>
      <c r="B12" s="21"/>
      <c r="C12" s="21"/>
      <c r="D12" s="21"/>
      <c r="E12" s="21"/>
      <c r="F12" s="21"/>
      <c r="G12" s="21"/>
      <c r="H12" s="21"/>
      <c r="I12" s="21"/>
      <c r="J12" s="22"/>
      <c r="K12" s="21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19"/>
      <c r="W12" s="19"/>
      <c r="X12" s="19"/>
    </row>
    <row r="13" spans="1:24" x14ac:dyDescent="0.25">
      <c r="A13" s="19" t="s">
        <v>134</v>
      </c>
      <c r="B13" s="19"/>
      <c r="C13" s="19"/>
      <c r="D13" s="19"/>
      <c r="E13" s="19"/>
      <c r="F13" s="19"/>
      <c r="G13" s="19"/>
      <c r="H13" s="19"/>
      <c r="I13" s="19"/>
      <c r="J13" s="19"/>
      <c r="K13" s="24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24" x14ac:dyDescent="0.25">
      <c r="A14" t="s">
        <v>41</v>
      </c>
      <c r="B14"/>
      <c r="C14"/>
      <c r="D14"/>
      <c r="E14"/>
      <c r="F14"/>
      <c r="G14"/>
      <c r="H14"/>
      <c r="I14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24" ht="15.75" thickBot="1" x14ac:dyDescent="0.3">
      <c r="A15"/>
      <c r="B15"/>
      <c r="C15"/>
      <c r="D15"/>
      <c r="E15"/>
      <c r="F15"/>
      <c r="G15"/>
      <c r="H15"/>
      <c r="I15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 spans="1:24" x14ac:dyDescent="0.25">
      <c r="A16" s="7" t="s">
        <v>42</v>
      </c>
      <c r="B16" s="7"/>
      <c r="C16"/>
      <c r="D16"/>
      <c r="E16"/>
      <c r="F16"/>
      <c r="G16"/>
      <c r="H16"/>
      <c r="I16"/>
      <c r="J16" s="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 spans="1:24" x14ac:dyDescent="0.25">
      <c r="A17" s="8" t="s">
        <v>43</v>
      </c>
      <c r="B17" s="8">
        <v>0.99999829960800457</v>
      </c>
      <c r="C17"/>
      <c r="D17"/>
      <c r="E17"/>
      <c r="F17"/>
      <c r="G17"/>
      <c r="H17"/>
      <c r="I17"/>
      <c r="J17" s="8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 spans="1:24" x14ac:dyDescent="0.25">
      <c r="A18" s="8" t="s">
        <v>44</v>
      </c>
      <c r="B18" s="8">
        <v>0.99999659921890038</v>
      </c>
      <c r="C18"/>
      <c r="D18"/>
      <c r="E18"/>
      <c r="F18"/>
      <c r="G18"/>
      <c r="H18"/>
      <c r="I18"/>
      <c r="J18" s="8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 spans="1:24" x14ac:dyDescent="0.25">
      <c r="A19" s="8" t="s">
        <v>45</v>
      </c>
      <c r="B19" s="8">
        <v>0.99999591906268037</v>
      </c>
      <c r="C19"/>
      <c r="D19"/>
      <c r="E19"/>
      <c r="F19"/>
      <c r="G19"/>
      <c r="H19"/>
      <c r="I19"/>
      <c r="J19" s="8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 spans="1:24" ht="15.75" customHeight="1" x14ac:dyDescent="0.25">
      <c r="A20" s="8" t="s">
        <v>46</v>
      </c>
      <c r="B20" s="8">
        <v>0.15745067498955981</v>
      </c>
      <c r="C20"/>
      <c r="D20"/>
      <c r="E20"/>
      <c r="F20"/>
      <c r="G20"/>
      <c r="H20"/>
      <c r="I20"/>
      <c r="J20" s="8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spans="1:24" ht="15.75" thickBot="1" x14ac:dyDescent="0.3">
      <c r="A21" s="10" t="s">
        <v>47</v>
      </c>
      <c r="B21" s="10">
        <v>7</v>
      </c>
      <c r="C21"/>
      <c r="D21"/>
      <c r="E21"/>
      <c r="F21"/>
      <c r="G21"/>
      <c r="H21"/>
      <c r="I21"/>
      <c r="J21" s="8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</row>
    <row r="22" spans="1:24" ht="15.75" customHeight="1" x14ac:dyDescent="0.25">
      <c r="A22"/>
      <c r="B22"/>
      <c r="C22"/>
      <c r="D22"/>
      <c r="E22"/>
      <c r="F22"/>
      <c r="G22"/>
      <c r="H22"/>
      <c r="I22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 spans="1:24" ht="15.75" thickBot="1" x14ac:dyDescent="0.3">
      <c r="A23" t="s">
        <v>48</v>
      </c>
      <c r="B23"/>
      <c r="C23"/>
      <c r="D23"/>
      <c r="E23"/>
      <c r="F23"/>
      <c r="G23"/>
      <c r="H23"/>
      <c r="I23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 spans="1:24" x14ac:dyDescent="0.25">
      <c r="A24" s="11"/>
      <c r="B24" s="11" t="s">
        <v>49</v>
      </c>
      <c r="C24" s="11" t="s">
        <v>50</v>
      </c>
      <c r="D24" s="11" t="s">
        <v>51</v>
      </c>
      <c r="E24" s="11" t="s">
        <v>52</v>
      </c>
      <c r="F24" s="11" t="s">
        <v>53</v>
      </c>
      <c r="G24"/>
      <c r="H24"/>
      <c r="I24"/>
      <c r="J24" s="12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</row>
    <row r="25" spans="1:24" x14ac:dyDescent="0.25">
      <c r="A25" s="8" t="s">
        <v>54</v>
      </c>
      <c r="B25" s="8">
        <v>1</v>
      </c>
      <c r="C25" s="8">
        <v>36448.436434940144</v>
      </c>
      <c r="D25" s="8">
        <v>36448.436434940144</v>
      </c>
      <c r="E25" s="8">
        <v>1470245.4670857524</v>
      </c>
      <c r="F25" s="8">
        <v>7.2414589665754382E-15</v>
      </c>
      <c r="G25"/>
      <c r="H25"/>
      <c r="I25"/>
      <c r="J25" s="8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 spans="1:24" ht="15.75" customHeight="1" x14ac:dyDescent="0.25">
      <c r="A26" s="8" t="s">
        <v>55</v>
      </c>
      <c r="B26" s="8">
        <v>5</v>
      </c>
      <c r="C26" s="8">
        <v>0.12395357527333999</v>
      </c>
      <c r="D26" s="8">
        <v>2.4790715054667997E-2</v>
      </c>
      <c r="E26" s="8"/>
      <c r="F26" s="8"/>
      <c r="G26"/>
      <c r="H26"/>
      <c r="I26"/>
      <c r="J26" s="8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 spans="1:24" ht="15.75" thickBot="1" x14ac:dyDescent="0.3">
      <c r="A27" s="10" t="s">
        <v>56</v>
      </c>
      <c r="B27" s="10">
        <v>6</v>
      </c>
      <c r="C27" s="10">
        <v>36448.56038851542</v>
      </c>
      <c r="D27" s="10"/>
      <c r="E27" s="10"/>
      <c r="F27" s="10"/>
      <c r="G27"/>
      <c r="H27"/>
      <c r="I27"/>
      <c r="J27" s="8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 spans="1:24" ht="15.75" thickBot="1" x14ac:dyDescent="0.3">
      <c r="A28"/>
      <c r="B28"/>
      <c r="C28"/>
      <c r="D28"/>
      <c r="E28"/>
      <c r="F28"/>
      <c r="G28"/>
      <c r="H28"/>
      <c r="I28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 spans="1:24" x14ac:dyDescent="0.25">
      <c r="A29" s="11"/>
      <c r="B29" s="11" t="s">
        <v>57</v>
      </c>
      <c r="C29" s="11" t="s">
        <v>46</v>
      </c>
      <c r="D29" s="11" t="s">
        <v>58</v>
      </c>
      <c r="E29" s="11" t="s">
        <v>59</v>
      </c>
      <c r="F29" s="11" t="s">
        <v>60</v>
      </c>
      <c r="G29" s="11" t="s">
        <v>61</v>
      </c>
      <c r="H29" s="11" t="s">
        <v>62</v>
      </c>
      <c r="I29" s="11" t="s">
        <v>63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 spans="1:24" ht="15.75" customHeight="1" x14ac:dyDescent="0.25">
      <c r="A30" s="8" t="s">
        <v>64</v>
      </c>
      <c r="B30" s="8">
        <v>-3.9608781842709107E-2</v>
      </c>
      <c r="C30" s="8">
        <v>6.8336946505889784E-2</v>
      </c>
      <c r="D30" s="8">
        <v>-0.57961006260786507</v>
      </c>
      <c r="E30" s="8">
        <v>0.5873118215120845</v>
      </c>
      <c r="F30" s="8">
        <v>-0.21527449523359993</v>
      </c>
      <c r="G30" s="8">
        <v>0.13605693154818171</v>
      </c>
      <c r="H30" s="8">
        <v>-0.21527449523359993</v>
      </c>
      <c r="I30" s="8">
        <v>0.13605693154818171</v>
      </c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 spans="1:24" ht="15.75" thickBot="1" x14ac:dyDescent="0.3">
      <c r="A31" s="10" t="s">
        <v>65</v>
      </c>
      <c r="B31" s="10">
        <v>0.15919366720311581</v>
      </c>
      <c r="C31" s="10">
        <v>1.3128976251852687E-4</v>
      </c>
      <c r="D31" s="10">
        <v>1212.5367899926798</v>
      </c>
      <c r="E31" s="10">
        <v>7.2414589665754382E-15</v>
      </c>
      <c r="F31" s="10">
        <v>0.15885617612438069</v>
      </c>
      <c r="G31" s="10">
        <v>0.15953115828185094</v>
      </c>
      <c r="H31" s="10">
        <v>0.15885617612438069</v>
      </c>
      <c r="I31" s="10">
        <v>0.15953115828185094</v>
      </c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</row>
    <row r="32" spans="1:24" x14ac:dyDescent="0.25">
      <c r="A32"/>
      <c r="B32"/>
      <c r="C32"/>
      <c r="D32"/>
      <c r="E32"/>
      <c r="F32"/>
      <c r="G32"/>
      <c r="H32"/>
      <c r="I32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 spans="1:24" x14ac:dyDescent="0.25">
      <c r="A33"/>
      <c r="B33"/>
      <c r="C33"/>
      <c r="D33"/>
      <c r="E33"/>
      <c r="F33"/>
      <c r="G33"/>
      <c r="H33"/>
      <c r="I33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 spans="1:24" x14ac:dyDescent="0.25">
      <c r="A34"/>
      <c r="B34"/>
      <c r="C34"/>
      <c r="D34"/>
      <c r="E34"/>
      <c r="F34"/>
      <c r="G34"/>
      <c r="H34"/>
      <c r="I34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 spans="1:24" x14ac:dyDescent="0.25">
      <c r="A35" t="s">
        <v>66</v>
      </c>
      <c r="B35"/>
      <c r="C35"/>
      <c r="D35"/>
      <c r="E35"/>
      <c r="F35"/>
      <c r="G35"/>
      <c r="H35"/>
      <c r="I35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</row>
    <row r="36" spans="1:24" ht="15.75" thickBot="1" x14ac:dyDescent="0.3">
      <c r="A36"/>
      <c r="B36"/>
      <c r="C36"/>
      <c r="D36"/>
      <c r="E36"/>
      <c r="F36"/>
      <c r="G36"/>
      <c r="H36"/>
      <c r="I36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</row>
    <row r="37" spans="1:24" x14ac:dyDescent="0.25">
      <c r="A37" s="11" t="s">
        <v>67</v>
      </c>
      <c r="B37" s="11" t="s">
        <v>68</v>
      </c>
      <c r="C37" s="11" t="s">
        <v>69</v>
      </c>
      <c r="D37"/>
      <c r="E37"/>
      <c r="F37"/>
      <c r="G37"/>
      <c r="H37"/>
      <c r="I37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</row>
    <row r="38" spans="1:24" x14ac:dyDescent="0.25">
      <c r="A38" s="8">
        <v>1</v>
      </c>
      <c r="B38" s="8">
        <v>0.1441714628506657</v>
      </c>
      <c r="C38" s="8">
        <v>-0.1441714628506657</v>
      </c>
      <c r="D38"/>
      <c r="E38"/>
      <c r="F38"/>
      <c r="G38"/>
      <c r="H38"/>
      <c r="I38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</row>
    <row r="39" spans="1:24" x14ac:dyDescent="0.25">
      <c r="A39" s="8">
        <v>2</v>
      </c>
      <c r="B39" s="8">
        <v>0.52694379154793525</v>
      </c>
      <c r="C39" s="8">
        <v>-9.9253696233561284E-2</v>
      </c>
      <c r="D39"/>
      <c r="E39"/>
      <c r="F39"/>
      <c r="G39"/>
      <c r="H39"/>
      <c r="I3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</row>
    <row r="40" spans="1:24" x14ac:dyDescent="0.25">
      <c r="A40" s="8">
        <v>3</v>
      </c>
      <c r="B40" s="8">
        <v>2.2192609148432805</v>
      </c>
      <c r="C40" s="8">
        <v>-8.0810438271410323E-2</v>
      </c>
      <c r="D40"/>
      <c r="E40"/>
      <c r="F40"/>
      <c r="G40"/>
      <c r="H40"/>
      <c r="I40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</row>
    <row r="41" spans="1:24" x14ac:dyDescent="0.25">
      <c r="A41" s="8">
        <v>4</v>
      </c>
      <c r="B41" s="8">
        <v>4.3002759088928997</v>
      </c>
      <c r="C41" s="8">
        <v>-2.3374955749159376E-2</v>
      </c>
      <c r="D41"/>
      <c r="E41"/>
      <c r="F41"/>
      <c r="G41"/>
      <c r="H41"/>
      <c r="I41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</row>
    <row r="42" spans="1:24" ht="15.75" customHeight="1" x14ac:dyDescent="0.25">
      <c r="A42" s="8">
        <v>5</v>
      </c>
      <c r="B42" s="8">
        <v>21.183118079488228</v>
      </c>
      <c r="C42" s="8">
        <v>0.20138668623047096</v>
      </c>
      <c r="D42"/>
      <c r="E42"/>
      <c r="F42"/>
      <c r="G42"/>
      <c r="H42"/>
      <c r="I42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</row>
    <row r="43" spans="1:24" ht="15.75" customHeight="1" x14ac:dyDescent="0.25">
      <c r="A43" s="8">
        <v>6</v>
      </c>
      <c r="B43" s="8">
        <v>42.563623553202696</v>
      </c>
      <c r="C43" s="8">
        <v>0.20538597823470184</v>
      </c>
      <c r="D43"/>
      <c r="E43"/>
      <c r="F43"/>
      <c r="G43"/>
      <c r="H43"/>
      <c r="I43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 spans="1:24" ht="15.75" thickBot="1" x14ac:dyDescent="0.3">
      <c r="A44" s="10">
        <v>7</v>
      </c>
      <c r="B44" s="10">
        <v>213.90420976854736</v>
      </c>
      <c r="C44" s="10">
        <v>-5.9162111360365088E-2</v>
      </c>
      <c r="D44"/>
      <c r="E44"/>
      <c r="F44"/>
      <c r="G44"/>
      <c r="H44"/>
      <c r="I44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 spans="1:24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</row>
    <row r="46" spans="1:24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</row>
    <row r="47" spans="1:24" x14ac:dyDescent="0.25">
      <c r="A47" s="19" t="s">
        <v>135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</row>
    <row r="48" spans="1:24" x14ac:dyDescent="0.25">
      <c r="A48" t="s">
        <v>41</v>
      </c>
      <c r="B48"/>
      <c r="C48"/>
      <c r="D48"/>
      <c r="E48"/>
      <c r="F48"/>
      <c r="G48"/>
      <c r="H48"/>
      <c r="I48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</row>
    <row r="49" spans="1:24" ht="15.75" thickBot="1" x14ac:dyDescent="0.3">
      <c r="A49"/>
      <c r="B49"/>
      <c r="C49"/>
      <c r="D49"/>
      <c r="E49"/>
      <c r="F49"/>
      <c r="G49"/>
      <c r="H49"/>
      <c r="I4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</row>
    <row r="50" spans="1:24" x14ac:dyDescent="0.25">
      <c r="A50" s="7" t="s">
        <v>42</v>
      </c>
      <c r="B50" s="7"/>
      <c r="C50"/>
      <c r="D50"/>
      <c r="E50"/>
      <c r="F50"/>
      <c r="G50"/>
      <c r="H50"/>
      <c r="I50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</row>
    <row r="51" spans="1:24" x14ac:dyDescent="0.25">
      <c r="A51" s="8" t="s">
        <v>43</v>
      </c>
      <c r="B51" s="8">
        <v>0.99997693899899576</v>
      </c>
      <c r="C51"/>
      <c r="D51"/>
      <c r="E51"/>
      <c r="F51"/>
      <c r="G51"/>
      <c r="H51"/>
      <c r="I51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</row>
    <row r="52" spans="1:24" x14ac:dyDescent="0.25">
      <c r="A52" s="8" t="s">
        <v>44</v>
      </c>
      <c r="B52" s="8">
        <v>0.99995387852980122</v>
      </c>
      <c r="C52"/>
      <c r="D52"/>
      <c r="E52"/>
      <c r="F52"/>
      <c r="G52"/>
      <c r="H52"/>
      <c r="I52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</row>
    <row r="53" spans="1:24" x14ac:dyDescent="0.25">
      <c r="A53" s="8" t="s">
        <v>45</v>
      </c>
      <c r="B53" s="8">
        <v>0.99994619161810139</v>
      </c>
      <c r="C53"/>
      <c r="D53"/>
      <c r="E53"/>
      <c r="F53"/>
      <c r="G53"/>
      <c r="H53"/>
      <c r="I53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</row>
    <row r="54" spans="1:24" x14ac:dyDescent="0.25">
      <c r="A54" s="8" t="s">
        <v>46</v>
      </c>
      <c r="B54" s="8">
        <v>2.3454898264593513</v>
      </c>
      <c r="C54"/>
      <c r="D54"/>
      <c r="E54"/>
      <c r="F54"/>
      <c r="G54"/>
      <c r="H54"/>
      <c r="I54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</row>
    <row r="55" spans="1:24" ht="15.75" thickBot="1" x14ac:dyDescent="0.3">
      <c r="A55" s="10" t="s">
        <v>47</v>
      </c>
      <c r="B55" s="10">
        <v>8</v>
      </c>
      <c r="C55"/>
      <c r="D55"/>
      <c r="E55"/>
      <c r="F55"/>
      <c r="G55"/>
      <c r="H55"/>
      <c r="I55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</row>
    <row r="56" spans="1:24" x14ac:dyDescent="0.25">
      <c r="A56"/>
      <c r="B56"/>
      <c r="C56"/>
      <c r="D56"/>
      <c r="E56"/>
      <c r="F56"/>
      <c r="G56"/>
      <c r="H56"/>
      <c r="I56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</row>
    <row r="57" spans="1:24" ht="15.75" customHeight="1" thickBot="1" x14ac:dyDescent="0.3">
      <c r="A57" t="s">
        <v>48</v>
      </c>
      <c r="B57"/>
      <c r="C57"/>
      <c r="D57"/>
      <c r="E57"/>
      <c r="F57"/>
      <c r="G57"/>
      <c r="H57"/>
      <c r="I57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</row>
    <row r="58" spans="1:24" x14ac:dyDescent="0.25">
      <c r="A58" s="11"/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/>
      <c r="H58"/>
      <c r="I58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</row>
    <row r="59" spans="1:24" x14ac:dyDescent="0.25">
      <c r="A59" s="8" t="s">
        <v>54</v>
      </c>
      <c r="B59" s="8">
        <v>1</v>
      </c>
      <c r="C59" s="8">
        <v>715640.95071954106</v>
      </c>
      <c r="D59" s="8">
        <v>715640.95071954106</v>
      </c>
      <c r="E59" s="8">
        <v>130085.25628776736</v>
      </c>
      <c r="F59" s="8">
        <v>3.0659633657492487E-14</v>
      </c>
      <c r="G59"/>
      <c r="H59"/>
      <c r="I5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</row>
    <row r="60" spans="1:24" x14ac:dyDescent="0.25">
      <c r="A60" s="8" t="s">
        <v>55</v>
      </c>
      <c r="B60" s="8">
        <v>6</v>
      </c>
      <c r="C60" s="8">
        <v>33.007935156145905</v>
      </c>
      <c r="D60" s="8">
        <v>5.5013225260243175</v>
      </c>
      <c r="E60" s="8"/>
      <c r="F60" s="8"/>
      <c r="G60"/>
      <c r="H60"/>
      <c r="I60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 spans="1:24" ht="15.75" thickBot="1" x14ac:dyDescent="0.3">
      <c r="A61" s="10" t="s">
        <v>56</v>
      </c>
      <c r="B61" s="10">
        <v>7</v>
      </c>
      <c r="C61" s="10">
        <v>715673.95865469717</v>
      </c>
      <c r="D61" s="10"/>
      <c r="E61" s="10"/>
      <c r="F61" s="10"/>
      <c r="G61"/>
      <c r="H61"/>
      <c r="I61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</row>
    <row r="62" spans="1:24" ht="15.75" thickBot="1" x14ac:dyDescent="0.3">
      <c r="A62"/>
      <c r="B62"/>
      <c r="C62"/>
      <c r="D62"/>
      <c r="E62"/>
      <c r="F62"/>
      <c r="G62"/>
      <c r="H62"/>
      <c r="I62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</row>
    <row r="63" spans="1:24" x14ac:dyDescent="0.25">
      <c r="A63" s="11"/>
      <c r="B63" s="11" t="s">
        <v>57</v>
      </c>
      <c r="C63" s="11" t="s">
        <v>46</v>
      </c>
      <c r="D63" s="11" t="s">
        <v>58</v>
      </c>
      <c r="E63" s="11" t="s">
        <v>59</v>
      </c>
      <c r="F63" s="11" t="s">
        <v>60</v>
      </c>
      <c r="G63" s="11" t="s">
        <v>61</v>
      </c>
      <c r="H63" s="11" t="s">
        <v>62</v>
      </c>
      <c r="I63" s="11" t="s">
        <v>63</v>
      </c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</row>
    <row r="64" spans="1:24" x14ac:dyDescent="0.25">
      <c r="A64" s="8" t="s">
        <v>64</v>
      </c>
      <c r="B64" s="8">
        <v>-1.0515927841435655</v>
      </c>
      <c r="C64" s="8">
        <v>0.93004309568280563</v>
      </c>
      <c r="D64" s="8">
        <v>-1.1306925335234301</v>
      </c>
      <c r="E64" s="8">
        <v>0.30134624757372269</v>
      </c>
      <c r="F64" s="8">
        <v>-3.3273262570453777</v>
      </c>
      <c r="G64" s="8">
        <v>1.2241406887582467</v>
      </c>
      <c r="H64" s="8">
        <v>-3.3273262570453777</v>
      </c>
      <c r="I64" s="8">
        <v>1.2241406887582467</v>
      </c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</row>
    <row r="65" spans="1:24" ht="15.75" thickBot="1" x14ac:dyDescent="0.3">
      <c r="A65" s="10" t="s">
        <v>65</v>
      </c>
      <c r="B65" s="10">
        <v>0.16384455053367589</v>
      </c>
      <c r="C65" s="10">
        <v>4.5427408560216718E-4</v>
      </c>
      <c r="D65" s="10">
        <v>360.6733373674403</v>
      </c>
      <c r="E65" s="10">
        <v>3.0659633657492487E-14</v>
      </c>
      <c r="F65" s="10">
        <v>0.16273298188994789</v>
      </c>
      <c r="G65" s="10">
        <v>0.16495611917740388</v>
      </c>
      <c r="H65" s="10">
        <v>0.16273298188994789</v>
      </c>
      <c r="I65" s="10">
        <v>0.16495611917740388</v>
      </c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</row>
    <row r="66" spans="1:24" x14ac:dyDescent="0.25">
      <c r="A66"/>
      <c r="B66"/>
      <c r="C66"/>
      <c r="D66"/>
      <c r="E66"/>
      <c r="F66"/>
      <c r="G66"/>
      <c r="H66"/>
      <c r="I66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</row>
    <row r="67" spans="1:24" x14ac:dyDescent="0.25">
      <c r="A67"/>
      <c r="B67"/>
      <c r="C67"/>
      <c r="D67"/>
      <c r="E67"/>
      <c r="F67"/>
      <c r="G67"/>
      <c r="H67"/>
      <c r="I67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</row>
    <row r="68" spans="1:24" x14ac:dyDescent="0.25">
      <c r="A68"/>
      <c r="B68"/>
      <c r="C68"/>
      <c r="D68"/>
      <c r="E68"/>
      <c r="F68"/>
      <c r="G68"/>
      <c r="H68"/>
      <c r="I68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</row>
    <row r="69" spans="1:24" x14ac:dyDescent="0.25">
      <c r="A69" t="s">
        <v>66</v>
      </c>
      <c r="B69"/>
      <c r="C69"/>
      <c r="D69"/>
      <c r="E69"/>
      <c r="F69"/>
      <c r="G69"/>
      <c r="H69"/>
      <c r="I6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 spans="1:24" ht="15.75" thickBot="1" x14ac:dyDescent="0.3">
      <c r="A70"/>
      <c r="B70"/>
      <c r="C70"/>
      <c r="D70"/>
      <c r="E70"/>
      <c r="F70"/>
      <c r="G70"/>
      <c r="H70"/>
      <c r="I70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 spans="1:24" x14ac:dyDescent="0.25">
      <c r="A71" s="11" t="s">
        <v>67</v>
      </c>
      <c r="B71" s="11" t="s">
        <v>68</v>
      </c>
      <c r="C71" s="11" t="s">
        <v>69</v>
      </c>
      <c r="D71"/>
      <c r="E71"/>
      <c r="F71"/>
      <c r="G71"/>
      <c r="H71"/>
      <c r="I71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 spans="1:24" x14ac:dyDescent="0.25">
      <c r="A72" s="8">
        <v>1</v>
      </c>
      <c r="B72" s="8">
        <v>-0.86244335302746633</v>
      </c>
      <c r="C72" s="8">
        <v>0.86244335302746633</v>
      </c>
      <c r="D72"/>
      <c r="E72"/>
      <c r="F72"/>
      <c r="G72"/>
      <c r="H72"/>
      <c r="I72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 spans="1:24" x14ac:dyDescent="0.25">
      <c r="A73" s="8">
        <v>2</v>
      </c>
      <c r="B73" s="8">
        <v>-0.46848823374427229</v>
      </c>
      <c r="C73" s="8">
        <v>0.89617832905864625</v>
      </c>
      <c r="D73"/>
      <c r="E73"/>
      <c r="F73"/>
      <c r="G73"/>
      <c r="H73"/>
      <c r="I73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</row>
    <row r="74" spans="1:24" x14ac:dyDescent="0.25">
      <c r="A74" s="8">
        <v>3</v>
      </c>
      <c r="B74" s="8">
        <v>1.273270363178999</v>
      </c>
      <c r="C74" s="8">
        <v>0.86518011339287115</v>
      </c>
      <c r="D74"/>
      <c r="E74"/>
      <c r="F74"/>
      <c r="G74"/>
      <c r="H74"/>
      <c r="I74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</row>
    <row r="75" spans="1:24" x14ac:dyDescent="0.25">
      <c r="A75" s="8">
        <v>4</v>
      </c>
      <c r="B75" s="8">
        <v>3.4150827376553288</v>
      </c>
      <c r="C75" s="8">
        <v>0.86181821548841153</v>
      </c>
      <c r="D75"/>
      <c r="E75"/>
      <c r="F75"/>
      <c r="G75"/>
      <c r="H75"/>
      <c r="I75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</row>
    <row r="76" spans="1:24" x14ac:dyDescent="0.25">
      <c r="A76" s="8">
        <v>5</v>
      </c>
      <c r="B76" s="8">
        <v>20.791161420752843</v>
      </c>
      <c r="C76" s="8">
        <v>0.59334334496585583</v>
      </c>
      <c r="D76"/>
      <c r="E76"/>
      <c r="F76"/>
      <c r="G76"/>
      <c r="H76"/>
      <c r="I76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</row>
    <row r="77" spans="1:24" x14ac:dyDescent="0.25">
      <c r="A77" s="8">
        <v>6</v>
      </c>
      <c r="B77" s="8">
        <v>42.796303780178178</v>
      </c>
      <c r="C77" s="8">
        <v>-2.7294248740780347E-2</v>
      </c>
      <c r="D77"/>
      <c r="E77"/>
      <c r="F77"/>
      <c r="G77"/>
      <c r="H77"/>
      <c r="I77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</row>
    <row r="78" spans="1:24" x14ac:dyDescent="0.25">
      <c r="A78" s="8">
        <v>7</v>
      </c>
      <c r="B78" s="8">
        <v>219.142648643325</v>
      </c>
      <c r="C78" s="8">
        <v>-5.2976009861380078</v>
      </c>
      <c r="D78"/>
      <c r="E78"/>
      <c r="F78"/>
      <c r="G78"/>
      <c r="H78"/>
      <c r="I78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</row>
    <row r="79" spans="1:24" ht="15.75" thickBot="1" x14ac:dyDescent="0.3">
      <c r="A79" s="10">
        <v>8</v>
      </c>
      <c r="B79" s="10">
        <v>920.50054699429393</v>
      </c>
      <c r="C79" s="10">
        <v>1.245931878945612</v>
      </c>
      <c r="D79"/>
      <c r="E79"/>
      <c r="F79"/>
      <c r="G79"/>
      <c r="H79"/>
      <c r="I7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</row>
    <row r="80" spans="1:24" x14ac:dyDescent="0.25">
      <c r="A80"/>
      <c r="B80"/>
      <c r="C80"/>
      <c r="D80"/>
      <c r="E80"/>
      <c r="F80"/>
      <c r="G80"/>
      <c r="H80"/>
      <c r="I80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</row>
    <row r="81" spans="1:24" x14ac:dyDescent="0.25">
      <c r="A81"/>
      <c r="B81"/>
      <c r="C81"/>
      <c r="D81"/>
      <c r="E81"/>
      <c r="F81"/>
      <c r="G81"/>
      <c r="H81"/>
      <c r="I81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</row>
    <row r="82" spans="1:24" x14ac:dyDescent="0.25">
      <c r="A82"/>
      <c r="B82"/>
      <c r="C82"/>
      <c r="D82"/>
      <c r="E82"/>
      <c r="F82"/>
      <c r="G82"/>
      <c r="H82"/>
      <c r="I82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</row>
    <row r="83" spans="1:24" x14ac:dyDescent="0.25">
      <c r="A83"/>
      <c r="B83"/>
      <c r="C83"/>
      <c r="D83"/>
      <c r="E83"/>
      <c r="F83"/>
      <c r="G83"/>
      <c r="H83"/>
      <c r="I83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</row>
    <row r="84" spans="1:24" x14ac:dyDescent="0.25">
      <c r="A84"/>
      <c r="B84"/>
      <c r="C84"/>
      <c r="D84"/>
      <c r="E84"/>
      <c r="F84"/>
      <c r="G84"/>
      <c r="H84"/>
      <c r="I84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</row>
    <row r="85" spans="1:24" x14ac:dyDescent="0.25">
      <c r="A85"/>
      <c r="B85"/>
      <c r="C85"/>
      <c r="D85"/>
      <c r="E85"/>
      <c r="F85"/>
      <c r="G85"/>
      <c r="H85"/>
      <c r="I85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</row>
    <row r="86" spans="1:24" x14ac:dyDescent="0.25">
      <c r="A86"/>
      <c r="B86"/>
      <c r="C86"/>
      <c r="D86"/>
      <c r="E86"/>
      <c r="F86"/>
      <c r="G86"/>
      <c r="H86"/>
      <c r="I86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</row>
    <row r="87" spans="1:24" x14ac:dyDescent="0.25">
      <c r="A87"/>
      <c r="B87"/>
      <c r="C87"/>
      <c r="D87"/>
      <c r="E87"/>
      <c r="F87"/>
      <c r="G87"/>
      <c r="H87"/>
      <c r="I87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</row>
    <row r="88" spans="1:24" x14ac:dyDescent="0.25">
      <c r="A88"/>
      <c r="B88"/>
      <c r="C88"/>
      <c r="D88"/>
      <c r="E88"/>
      <c r="F88"/>
      <c r="G88"/>
      <c r="H88"/>
      <c r="I88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</row>
    <row r="89" spans="1:24" x14ac:dyDescent="0.25">
      <c r="A89"/>
      <c r="B89"/>
      <c r="C89"/>
      <c r="D89"/>
      <c r="E89"/>
      <c r="F89"/>
      <c r="G89"/>
      <c r="H89"/>
      <c r="I8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</row>
    <row r="90" spans="1:24" x14ac:dyDescent="0.25">
      <c r="A90"/>
      <c r="B90"/>
      <c r="C90"/>
      <c r="D90"/>
      <c r="E90"/>
      <c r="F90"/>
      <c r="G90"/>
      <c r="H90"/>
      <c r="I90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 spans="1:24" x14ac:dyDescent="0.25">
      <c r="A91"/>
      <c r="B91"/>
      <c r="C91"/>
      <c r="D91"/>
      <c r="E91"/>
      <c r="F91"/>
      <c r="G91"/>
      <c r="H91"/>
      <c r="I91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 spans="1:24" x14ac:dyDescent="0.25">
      <c r="A92"/>
      <c r="B92"/>
      <c r="C92"/>
      <c r="D92"/>
      <c r="E92"/>
      <c r="F92"/>
      <c r="G92"/>
      <c r="H92"/>
      <c r="I92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 spans="1:24" x14ac:dyDescent="0.25">
      <c r="A93"/>
      <c r="B93"/>
      <c r="C93"/>
      <c r="D93"/>
      <c r="E93"/>
      <c r="F93"/>
      <c r="G93"/>
      <c r="H93"/>
      <c r="I93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 spans="1:24" x14ac:dyDescent="0.25">
      <c r="A94"/>
      <c r="B94"/>
      <c r="C94"/>
      <c r="D94"/>
      <c r="E94"/>
      <c r="F94"/>
      <c r="G94"/>
      <c r="H94"/>
      <c r="I94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 spans="1:24" x14ac:dyDescent="0.25">
      <c r="A95"/>
      <c r="B95"/>
      <c r="C95"/>
      <c r="D95"/>
      <c r="E95"/>
      <c r="F95"/>
      <c r="G95"/>
      <c r="H95"/>
      <c r="I95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 spans="1:24" x14ac:dyDescent="0.25">
      <c r="A96"/>
      <c r="B96"/>
      <c r="C96"/>
      <c r="D96"/>
      <c r="E96"/>
      <c r="F96"/>
      <c r="G96"/>
      <c r="H96"/>
      <c r="I96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</row>
    <row r="97" spans="1:24" x14ac:dyDescent="0.25">
      <c r="A97"/>
      <c r="B97"/>
      <c r="C97"/>
      <c r="D97"/>
      <c r="E97"/>
      <c r="F97"/>
      <c r="G97"/>
      <c r="H97"/>
      <c r="I97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 spans="1:24" x14ac:dyDescent="0.25">
      <c r="A98"/>
      <c r="B98"/>
      <c r="C98"/>
      <c r="D98"/>
      <c r="E98"/>
      <c r="F98"/>
      <c r="G98"/>
      <c r="H98"/>
      <c r="I98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</row>
    <row r="99" spans="1:24" x14ac:dyDescent="0.25">
      <c r="A99"/>
      <c r="B99"/>
      <c r="C99"/>
      <c r="D99"/>
      <c r="E99"/>
      <c r="F99"/>
      <c r="G99"/>
      <c r="H99"/>
      <c r="I9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</row>
    <row r="100" spans="1:24" x14ac:dyDescent="0.25">
      <c r="A100"/>
      <c r="B100"/>
      <c r="C100"/>
      <c r="D100"/>
      <c r="E100"/>
      <c r="F100"/>
      <c r="G100"/>
      <c r="H100"/>
      <c r="I100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 spans="1:24" x14ac:dyDescent="0.25">
      <c r="A101"/>
      <c r="B101"/>
      <c r="C101"/>
      <c r="D101"/>
      <c r="E101"/>
      <c r="F101"/>
      <c r="G101"/>
      <c r="H101"/>
      <c r="I101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 spans="1:24" x14ac:dyDescent="0.25">
      <c r="A102"/>
      <c r="B102"/>
      <c r="C102"/>
      <c r="D102"/>
      <c r="E102"/>
      <c r="F102"/>
      <c r="G102"/>
      <c r="H102"/>
      <c r="I102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 spans="1:24" x14ac:dyDescent="0.25">
      <c r="A103"/>
      <c r="B103"/>
      <c r="C103"/>
      <c r="D103"/>
      <c r="E103"/>
      <c r="F103"/>
      <c r="G103"/>
      <c r="H103"/>
      <c r="I103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 spans="1:24" x14ac:dyDescent="0.25">
      <c r="A104"/>
      <c r="B104"/>
      <c r="C104"/>
      <c r="D104"/>
      <c r="E104"/>
      <c r="F104"/>
      <c r="G104"/>
      <c r="H104"/>
      <c r="I104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 spans="1:24" x14ac:dyDescent="0.25">
      <c r="A105"/>
      <c r="B105"/>
      <c r="C105"/>
      <c r="D105"/>
      <c r="E105"/>
      <c r="F105"/>
      <c r="G105"/>
      <c r="H105"/>
      <c r="I105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 spans="1:24" x14ac:dyDescent="0.25">
      <c r="A106"/>
      <c r="B106"/>
      <c r="C106"/>
      <c r="D106"/>
      <c r="E106"/>
      <c r="F106"/>
      <c r="G106"/>
      <c r="H106"/>
      <c r="I106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 spans="1:24" x14ac:dyDescent="0.25">
      <c r="A107"/>
      <c r="B107"/>
      <c r="C107"/>
      <c r="D107"/>
      <c r="E107"/>
      <c r="F107"/>
      <c r="G107"/>
      <c r="H107"/>
      <c r="I107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 spans="1:24" x14ac:dyDescent="0.25">
      <c r="A108"/>
      <c r="B108"/>
      <c r="C108"/>
      <c r="D108"/>
      <c r="E108"/>
      <c r="F108"/>
      <c r="G108"/>
      <c r="H108"/>
      <c r="I108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 spans="1:24" x14ac:dyDescent="0.25">
      <c r="A109"/>
      <c r="B109"/>
      <c r="C109"/>
      <c r="D109"/>
      <c r="E109"/>
      <c r="F109"/>
      <c r="G109"/>
      <c r="H109"/>
      <c r="I10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 spans="1:24" x14ac:dyDescent="0.25">
      <c r="A110"/>
      <c r="B110"/>
      <c r="C110"/>
      <c r="D110"/>
      <c r="E110"/>
      <c r="F110"/>
      <c r="G110"/>
      <c r="H110"/>
      <c r="I110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 spans="1:24" x14ac:dyDescent="0.25">
      <c r="A111"/>
      <c r="B111"/>
      <c r="C111"/>
      <c r="D111"/>
      <c r="E111"/>
      <c r="F111"/>
      <c r="G111"/>
      <c r="H111"/>
      <c r="I111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/>
  </sheetViews>
  <sheetFormatPr defaultRowHeight="15" x14ac:dyDescent="0.25"/>
  <cols>
    <col min="1" max="1" width="14.570312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79</v>
      </c>
      <c r="C1" t="s">
        <v>23</v>
      </c>
      <c r="D1" t="s">
        <v>21</v>
      </c>
      <c r="E1" t="s">
        <v>76</v>
      </c>
      <c r="F1" t="s">
        <v>77</v>
      </c>
      <c r="G1" t="s">
        <v>78</v>
      </c>
    </row>
    <row r="2" spans="1:7" x14ac:dyDescent="0.25">
      <c r="A2" t="s">
        <v>87</v>
      </c>
      <c r="B2" s="14" t="s">
        <v>80</v>
      </c>
      <c r="C2">
        <v>199.17777777777781</v>
      </c>
      <c r="D2">
        <v>1.1552311111111111</v>
      </c>
      <c r="E2" s="1" t="s">
        <v>40</v>
      </c>
      <c r="F2" s="1">
        <f>C2*'Calibration Data'!$B$31+'Calibration Data'!$B$30</f>
        <v>31.668232087969006</v>
      </c>
      <c r="G2" s="15">
        <f>'Calibration Data'!$B$20</f>
        <v>0.15745067498955981</v>
      </c>
    </row>
    <row r="3" spans="1:7" x14ac:dyDescent="0.25">
      <c r="A3" t="s">
        <v>88</v>
      </c>
      <c r="B3" s="14" t="s">
        <v>80</v>
      </c>
      <c r="C3">
        <v>203.48166666666671</v>
      </c>
      <c r="D3">
        <v>1.1598455000000001</v>
      </c>
      <c r="E3" s="1" t="s">
        <v>40</v>
      </c>
      <c r="F3" s="1">
        <f>C3*'Calibration Data'!$B$31+'Calibration Data'!$B$30</f>
        <v>32.353383943425975</v>
      </c>
      <c r="G3" s="15">
        <f>'Calibration Data'!$B$20</f>
        <v>0.15745067498955981</v>
      </c>
    </row>
    <row r="4" spans="1:7" x14ac:dyDescent="0.25">
      <c r="A4" t="s">
        <v>89</v>
      </c>
      <c r="B4" s="14" t="s">
        <v>80</v>
      </c>
      <c r="C4">
        <v>201.40111111111111</v>
      </c>
      <c r="D4">
        <v>1.161413074074074</v>
      </c>
      <c r="E4" s="1" t="s">
        <v>40</v>
      </c>
      <c r="F4" s="1">
        <f>C4*'Calibration Data'!$B$31+'Calibration Data'!$B$30</f>
        <v>32.022172674717261</v>
      </c>
      <c r="G4" s="15">
        <f>'Calibration Data'!$B$20</f>
        <v>0.15745067498955981</v>
      </c>
    </row>
    <row r="5" spans="1:7" x14ac:dyDescent="0.25">
      <c r="A5" t="s">
        <v>99</v>
      </c>
      <c r="B5" s="14" t="s">
        <v>80</v>
      </c>
      <c r="C5">
        <v>41.56444444444444</v>
      </c>
      <c r="D5">
        <v>0.52786844444444425</v>
      </c>
      <c r="E5" s="1" t="s">
        <v>40</v>
      </c>
      <c r="F5" s="1">
        <f>C5*'Calibration Data'!$B$31+'Calibration Data'!$B$30</f>
        <v>6.5771875545285754</v>
      </c>
      <c r="G5" s="15">
        <f>'Calibration Data'!$B$20</f>
        <v>0.15745067498955981</v>
      </c>
    </row>
    <row r="6" spans="1:7" x14ac:dyDescent="0.25">
      <c r="A6" t="s">
        <v>100</v>
      </c>
      <c r="B6" s="14" t="s">
        <v>80</v>
      </c>
      <c r="C6">
        <v>43.251111111111108</v>
      </c>
      <c r="D6">
        <v>0.53775548148148145</v>
      </c>
      <c r="E6" s="1" t="s">
        <v>40</v>
      </c>
      <c r="F6" s="1">
        <f>C6*'Calibration Data'!$B$31+'Calibration Data'!$B$30</f>
        <v>6.845694206544497</v>
      </c>
      <c r="G6" s="15">
        <f>'Calibration Data'!$B$20</f>
        <v>0.15745067498955981</v>
      </c>
    </row>
    <row r="7" spans="1:7" x14ac:dyDescent="0.25">
      <c r="A7" t="s">
        <v>101</v>
      </c>
      <c r="B7" s="14" t="s">
        <v>80</v>
      </c>
      <c r="C7">
        <v>42.047222222222217</v>
      </c>
      <c r="D7">
        <v>0.52839342592592575</v>
      </c>
      <c r="E7" s="1" t="s">
        <v>40</v>
      </c>
      <c r="F7" s="1">
        <f>C7*'Calibration Data'!$B$31+'Calibration Data'!$B$30</f>
        <v>6.6540427194171903</v>
      </c>
      <c r="G7" s="15">
        <f>'Calibration Data'!$B$20</f>
        <v>0.15745067498955981</v>
      </c>
    </row>
    <row r="8" spans="1:7" ht="15.75" customHeight="1" x14ac:dyDescent="0.25">
      <c r="A8" t="s">
        <v>102</v>
      </c>
      <c r="B8" s="14" t="s">
        <v>80</v>
      </c>
      <c r="C8">
        <v>5.7138888888888886</v>
      </c>
      <c r="D8">
        <v>0.19522453703703699</v>
      </c>
      <c r="E8" s="1" t="s">
        <v>40</v>
      </c>
      <c r="F8" s="1">
        <f>C8*'Calibration Data'!$B$31+'Calibration Data'!$B$30</f>
        <v>0.87000614437064983</v>
      </c>
      <c r="G8" s="15">
        <f>'Calibration Data'!$B$20</f>
        <v>0.15745067498955981</v>
      </c>
    </row>
    <row r="9" spans="1:7" x14ac:dyDescent="0.25">
      <c r="A9" t="s">
        <v>103</v>
      </c>
      <c r="B9" s="14" t="s">
        <v>80</v>
      </c>
      <c r="C9">
        <v>5.1488888888888882</v>
      </c>
      <c r="D9">
        <v>0.18536</v>
      </c>
      <c r="E9" s="1" t="s">
        <v>40</v>
      </c>
      <c r="F9" s="1">
        <f>C9*'Calibration Data'!$B$31+'Calibration Data'!$B$30</f>
        <v>0.78006172240088933</v>
      </c>
      <c r="G9" s="15">
        <f>'Calibration Data'!$B$20</f>
        <v>0.15745067498955981</v>
      </c>
    </row>
    <row r="10" spans="1:7" x14ac:dyDescent="0.25">
      <c r="A10" t="s">
        <v>104</v>
      </c>
      <c r="B10" s="14" t="s">
        <v>80</v>
      </c>
      <c r="C10">
        <v>5.2011111111111106</v>
      </c>
      <c r="D10">
        <v>0.1863731481481482</v>
      </c>
      <c r="E10" s="1" t="s">
        <v>40</v>
      </c>
      <c r="F10" s="1">
        <f>C10*'Calibration Data'!$B$31+'Calibration Data'!$B$30</f>
        <v>0.78837516946594099</v>
      </c>
      <c r="G10" s="15">
        <f>'Calibration Data'!$B$20</f>
        <v>0.15745067498955981</v>
      </c>
    </row>
    <row r="11" spans="1:7" x14ac:dyDescent="0.25">
      <c r="A11" t="s">
        <v>90</v>
      </c>
      <c r="B11" s="14" t="s">
        <v>80</v>
      </c>
      <c r="C11">
        <v>185.08</v>
      </c>
      <c r="D11">
        <v>1.1104799999999999</v>
      </c>
      <c r="E11" s="1" t="s">
        <v>40</v>
      </c>
      <c r="F11" s="1">
        <f>C11*'Calibration Data'!$B$31+'Calibration Data'!$B$30</f>
        <v>29.423955144109968</v>
      </c>
      <c r="G11" s="15">
        <f>'Calibration Data'!$B$20</f>
        <v>0.15745067498955981</v>
      </c>
    </row>
    <row r="12" spans="1:7" x14ac:dyDescent="0.25">
      <c r="A12" t="s">
        <v>91</v>
      </c>
      <c r="B12" s="14" t="s">
        <v>80</v>
      </c>
      <c r="C12">
        <v>189.56555555555559</v>
      </c>
      <c r="D12">
        <v>1.1247556296296291</v>
      </c>
      <c r="E12" s="1" t="s">
        <v>40</v>
      </c>
      <c r="F12" s="1">
        <f>C12*'Calibration Data'!$B$31+'Calibration Data'!$B$30</f>
        <v>30.138027182442169</v>
      </c>
      <c r="G12" s="15">
        <f>'Calibration Data'!$B$20</f>
        <v>0.15745067498955981</v>
      </c>
    </row>
    <row r="13" spans="1:7" x14ac:dyDescent="0.25">
      <c r="A13" t="s">
        <v>92</v>
      </c>
      <c r="B13" s="14" t="s">
        <v>80</v>
      </c>
      <c r="C13">
        <v>189.71222222222221</v>
      </c>
      <c r="D13">
        <v>1.119302111111111</v>
      </c>
      <c r="E13" s="1" t="s">
        <v>40</v>
      </c>
      <c r="F13" s="1">
        <f>C13*'Calibration Data'!$B$31+'Calibration Data'!$B$30</f>
        <v>30.161375586965285</v>
      </c>
      <c r="G13" s="15">
        <f>'Calibration Data'!$B$20</f>
        <v>0.15745067498955981</v>
      </c>
    </row>
    <row r="14" spans="1:7" x14ac:dyDescent="0.25">
      <c r="A14" t="s">
        <v>105</v>
      </c>
      <c r="B14" s="14" t="s">
        <v>80</v>
      </c>
      <c r="C14">
        <v>39.418333333333329</v>
      </c>
      <c r="D14">
        <v>0.51243833333333344</v>
      </c>
      <c r="E14" s="1" t="s">
        <v>40</v>
      </c>
      <c r="F14" s="1">
        <f>C14*'Calibration Data'!$B$31+'Calibration Data'!$B$30</f>
        <v>6.2355402565254439</v>
      </c>
      <c r="G14" s="15">
        <f>'Calibration Data'!$B$20</f>
        <v>0.15745067498955981</v>
      </c>
    </row>
    <row r="15" spans="1:7" x14ac:dyDescent="0.25">
      <c r="A15" t="s">
        <v>106</v>
      </c>
      <c r="B15" s="14" t="s">
        <v>80</v>
      </c>
      <c r="C15">
        <v>39.909444444444439</v>
      </c>
      <c r="D15">
        <v>0.51616214814814809</v>
      </c>
      <c r="E15" s="1" t="s">
        <v>40</v>
      </c>
      <c r="F15" s="1">
        <f>C15*'Calibration Data'!$B$31+'Calibration Data'!$B$30</f>
        <v>6.3137220353074186</v>
      </c>
      <c r="G15" s="15">
        <f>'Calibration Data'!$B$20</f>
        <v>0.15745067498955981</v>
      </c>
    </row>
    <row r="16" spans="1:7" x14ac:dyDescent="0.25">
      <c r="A16" t="s">
        <v>107</v>
      </c>
      <c r="B16" s="14" t="s">
        <v>80</v>
      </c>
      <c r="C16">
        <v>40.185000000000002</v>
      </c>
      <c r="D16">
        <v>0.51704700000000003</v>
      </c>
      <c r="E16" s="1" t="s">
        <v>40</v>
      </c>
      <c r="F16" s="1">
        <f>C16*'Calibration Data'!$B$31+'Calibration Data'!$B$30</f>
        <v>6.3575887347145006</v>
      </c>
      <c r="G16" s="15">
        <f>'Calibration Data'!$B$20</f>
        <v>0.15745067498955981</v>
      </c>
    </row>
    <row r="17" spans="1:7" x14ac:dyDescent="0.25">
      <c r="A17" t="s">
        <v>108</v>
      </c>
      <c r="B17" s="14" t="s">
        <v>80</v>
      </c>
      <c r="C17">
        <v>5.764444444444444</v>
      </c>
      <c r="D17">
        <v>0.19599111111111109</v>
      </c>
      <c r="E17" s="1" t="s">
        <v>40</v>
      </c>
      <c r="F17" s="1">
        <f>C17*'Calibration Data'!$B$31+'Calibration Data'!$B$30</f>
        <v>0.87805426865702951</v>
      </c>
      <c r="G17" s="15">
        <f>'Calibration Data'!$B$20</f>
        <v>0.15745067498955981</v>
      </c>
    </row>
    <row r="18" spans="1:7" x14ac:dyDescent="0.25">
      <c r="A18" t="s">
        <v>109</v>
      </c>
      <c r="B18" s="14" t="s">
        <v>80</v>
      </c>
      <c r="C18">
        <v>5.1722222222222216</v>
      </c>
      <c r="D18">
        <v>0.18568277777777781</v>
      </c>
      <c r="E18" s="1" t="s">
        <v>40</v>
      </c>
      <c r="F18" s="1">
        <f>C18*'Calibration Data'!$B$31+'Calibration Data'!$B$30</f>
        <v>0.7837762413022954</v>
      </c>
      <c r="G18" s="15">
        <f>'Calibration Data'!$B$20</f>
        <v>0.15745067498955981</v>
      </c>
    </row>
    <row r="19" spans="1:7" x14ac:dyDescent="0.25">
      <c r="A19" t="s">
        <v>110</v>
      </c>
      <c r="B19" s="14" t="s">
        <v>80</v>
      </c>
      <c r="C19">
        <v>5.0477777777777781</v>
      </c>
      <c r="D19">
        <v>0.18340259259259259</v>
      </c>
      <c r="E19" s="1" t="s">
        <v>40</v>
      </c>
      <c r="F19" s="1">
        <f>C19*'Calibration Data'!$B$31+'Calibration Data'!$B$30</f>
        <v>0.76396547382812996</v>
      </c>
      <c r="G19" s="15">
        <f>'Calibration Data'!$B$20</f>
        <v>0.15745067498955981</v>
      </c>
    </row>
    <row r="20" spans="1:7" x14ac:dyDescent="0.25">
      <c r="A20" t="s">
        <v>93</v>
      </c>
      <c r="B20" s="14" t="s">
        <v>80</v>
      </c>
      <c r="C20">
        <v>169.1855555555556</v>
      </c>
      <c r="D20">
        <v>1.0602294814814821</v>
      </c>
      <c r="E20" s="1" t="s">
        <v>40</v>
      </c>
      <c r="F20" s="1">
        <f>C20*'Calibration Data'!$B$31+'Calibration Data'!$B$30</f>
        <v>26.893660244842671</v>
      </c>
      <c r="G20" s="15">
        <f>'Calibration Data'!$B$20</f>
        <v>0.15745067498955981</v>
      </c>
    </row>
    <row r="21" spans="1:7" x14ac:dyDescent="0.25">
      <c r="A21" t="s">
        <v>94</v>
      </c>
      <c r="B21" s="14" t="s">
        <v>80</v>
      </c>
      <c r="C21">
        <v>177.5094444444444</v>
      </c>
      <c r="D21">
        <v>1.0828076111111109</v>
      </c>
      <c r="E21" s="1" t="s">
        <v>40</v>
      </c>
      <c r="F21" s="1">
        <f>C21*'Calibration Data'!$B$31+'Calibration Data'!$B$30</f>
        <v>28.218770642456146</v>
      </c>
      <c r="G21" s="15">
        <f>'Calibration Data'!$B$20</f>
        <v>0.15745067498955981</v>
      </c>
    </row>
    <row r="22" spans="1:7" x14ac:dyDescent="0.25">
      <c r="A22" t="s">
        <v>95</v>
      </c>
      <c r="B22" s="14" t="s">
        <v>80</v>
      </c>
      <c r="C22">
        <v>172.20944444444439</v>
      </c>
      <c r="D22">
        <v>1.067698555555556</v>
      </c>
      <c r="E22" s="1" t="s">
        <v>40</v>
      </c>
      <c r="F22" s="1">
        <f>C22*'Calibration Data'!$B$31+'Calibration Data'!$B$30</f>
        <v>27.375044206279632</v>
      </c>
      <c r="G22" s="15">
        <f>'Calibration Data'!$B$20</f>
        <v>0.15745067498955981</v>
      </c>
    </row>
    <row r="23" spans="1:7" x14ac:dyDescent="0.25">
      <c r="A23" t="s">
        <v>111</v>
      </c>
      <c r="B23" s="14" t="s">
        <v>80</v>
      </c>
      <c r="C23">
        <v>37.696666666666673</v>
      </c>
      <c r="D23">
        <v>0.5013656666666666</v>
      </c>
      <c r="E23" s="1" t="s">
        <v>40</v>
      </c>
      <c r="F23" s="1">
        <f>C23*'Calibration Data'!$B$31+'Calibration Data'!$B$30</f>
        <v>5.9614618261574144</v>
      </c>
      <c r="G23" s="15">
        <f>'Calibration Data'!$B$20</f>
        <v>0.15745067498955981</v>
      </c>
    </row>
    <row r="24" spans="1:7" x14ac:dyDescent="0.25">
      <c r="A24" t="s">
        <v>112</v>
      </c>
      <c r="B24" s="14" t="s">
        <v>80</v>
      </c>
      <c r="C24">
        <v>35.877777777777773</v>
      </c>
      <c r="D24">
        <v>0.48913370370370368</v>
      </c>
      <c r="E24" s="1" t="s">
        <v>40</v>
      </c>
      <c r="F24" s="1">
        <f>C24*'Calibration Data'!$B$31+'Calibration Data'!$B$30</f>
        <v>5.6719062337001898</v>
      </c>
      <c r="G24" s="15">
        <f>'Calibration Data'!$B$20</f>
        <v>0.15745067498955981</v>
      </c>
    </row>
    <row r="25" spans="1:7" x14ac:dyDescent="0.25">
      <c r="A25" t="s">
        <v>113</v>
      </c>
      <c r="B25" s="14" t="s">
        <v>80</v>
      </c>
      <c r="C25">
        <v>37.157777777777767</v>
      </c>
      <c r="D25">
        <v>0.4979142222222222</v>
      </c>
      <c r="E25" s="1" t="s">
        <v>40</v>
      </c>
      <c r="F25" s="1">
        <f>C25*'Calibration Data'!$B$31+'Calibration Data'!$B$30</f>
        <v>5.8756741277201767</v>
      </c>
      <c r="G25" s="15">
        <f>'Calibration Data'!$B$20</f>
        <v>0.15745067498955981</v>
      </c>
    </row>
    <row r="26" spans="1:7" x14ac:dyDescent="0.25">
      <c r="A26" t="s">
        <v>117</v>
      </c>
      <c r="B26" s="14" t="s">
        <v>80</v>
      </c>
      <c r="C26">
        <v>6.817222222222223</v>
      </c>
      <c r="D26">
        <v>0.21292457407407411</v>
      </c>
      <c r="E26" s="1" t="s">
        <v>40</v>
      </c>
      <c r="F26" s="1">
        <f>C26*'Calibration Data'!$B$31+'Calibration Data'!$B$30</f>
        <v>1.0456498238514211</v>
      </c>
      <c r="G26" s="15">
        <f>'Calibration Data'!$B$20</f>
        <v>0.15745067498955981</v>
      </c>
    </row>
    <row r="27" spans="1:7" x14ac:dyDescent="0.25">
      <c r="A27" t="s">
        <v>118</v>
      </c>
      <c r="B27" s="14" t="s">
        <v>80</v>
      </c>
      <c r="C27">
        <v>5.817222222222223</v>
      </c>
      <c r="D27">
        <v>0.19700992592592589</v>
      </c>
      <c r="E27" s="1" t="s">
        <v>40</v>
      </c>
      <c r="F27" s="1">
        <f>C27*'Calibration Data'!$B$31+'Calibration Data'!$B$30</f>
        <v>0.88645615664830524</v>
      </c>
      <c r="G27" s="15">
        <f>'Calibration Data'!$B$20</f>
        <v>0.15745067498955981</v>
      </c>
    </row>
    <row r="28" spans="1:7" x14ac:dyDescent="0.25">
      <c r="A28" t="s">
        <v>119</v>
      </c>
      <c r="B28" s="14" t="s">
        <v>80</v>
      </c>
      <c r="C28">
        <v>4.7816666666666663</v>
      </c>
      <c r="D28">
        <v>0.1786749444444444</v>
      </c>
      <c r="E28" s="1" t="s">
        <v>40</v>
      </c>
      <c r="F28" s="1">
        <f>C28*'Calibration Data'!$B$31+'Calibration Data'!$B$30</f>
        <v>0.7216022701668563</v>
      </c>
      <c r="G28" s="15">
        <f>'Calibration Data'!$B$20</f>
        <v>0.15745067498955981</v>
      </c>
    </row>
    <row r="29" spans="1:7" x14ac:dyDescent="0.25">
      <c r="A29" t="s">
        <v>96</v>
      </c>
      <c r="B29" s="14" t="s">
        <v>80</v>
      </c>
      <c r="C29">
        <v>153.27944444444441</v>
      </c>
      <c r="D29">
        <v>1.0116443333333329</v>
      </c>
      <c r="E29" s="1" t="s">
        <v>40</v>
      </c>
      <c r="F29" s="1">
        <f>C29*'Calibration Data'!$B$31+'Calibration Data'!$B$30</f>
        <v>24.361508086124655</v>
      </c>
      <c r="G29" s="15">
        <f>'Calibration Data'!$B$20</f>
        <v>0.15745067498955981</v>
      </c>
    </row>
    <row r="30" spans="1:7" x14ac:dyDescent="0.25">
      <c r="A30" t="s">
        <v>97</v>
      </c>
      <c r="B30" s="14" t="s">
        <v>80</v>
      </c>
      <c r="C30">
        <v>169.6922222222222</v>
      </c>
      <c r="D30">
        <v>1.069061</v>
      </c>
      <c r="E30" s="1" t="s">
        <v>40</v>
      </c>
      <c r="F30" s="1">
        <f>C30*'Calibration Data'!$B$31+'Calibration Data'!$B$30</f>
        <v>26.974318369558905</v>
      </c>
      <c r="G30" s="15">
        <f>'Calibration Data'!$B$20</f>
        <v>0.15745067498955981</v>
      </c>
    </row>
    <row r="31" spans="1:7" x14ac:dyDescent="0.25">
      <c r="A31" t="s">
        <v>98</v>
      </c>
      <c r="B31" s="14" t="s">
        <v>80</v>
      </c>
      <c r="C31">
        <v>168.2594444444444</v>
      </c>
      <c r="D31">
        <v>1.0600345</v>
      </c>
      <c r="E31" s="1" t="s">
        <v>40</v>
      </c>
      <c r="F31" s="1">
        <f>C31*'Calibration Data'!$B$31+'Calibration Data'!$B$30</f>
        <v>26.746229220827328</v>
      </c>
      <c r="G31" s="15">
        <f>'Calibration Data'!$B$20</f>
        <v>0.15745067498955981</v>
      </c>
    </row>
    <row r="32" spans="1:7" x14ac:dyDescent="0.25">
      <c r="A32" t="s">
        <v>120</v>
      </c>
      <c r="B32" s="14" t="s">
        <v>80</v>
      </c>
      <c r="C32">
        <v>34.051111111111098</v>
      </c>
      <c r="D32">
        <v>0.47671555555555539</v>
      </c>
      <c r="E32" s="1" t="s">
        <v>40</v>
      </c>
      <c r="F32" s="1">
        <f>C32*'Calibration Data'!$B$31+'Calibration Data'!$B$30</f>
        <v>5.3811124682758305</v>
      </c>
      <c r="G32" s="15">
        <f>'Calibration Data'!$B$20</f>
        <v>0.15745067498955981</v>
      </c>
    </row>
    <row r="33" spans="1:7" x14ac:dyDescent="0.25">
      <c r="A33" t="s">
        <v>121</v>
      </c>
      <c r="B33" s="14" t="s">
        <v>80</v>
      </c>
      <c r="C33">
        <v>34.111111111111107</v>
      </c>
      <c r="D33">
        <v>0.47755555555555562</v>
      </c>
      <c r="E33" s="1" t="s">
        <v>40</v>
      </c>
      <c r="F33" s="1">
        <f>C33*'Calibration Data'!$B$31+'Calibration Data'!$B$30</f>
        <v>5.3906640883080188</v>
      </c>
      <c r="G33" s="15">
        <f>'Calibration Data'!$B$20</f>
        <v>0.15745067498955981</v>
      </c>
    </row>
    <row r="34" spans="1:7" x14ac:dyDescent="0.25">
      <c r="A34" t="s">
        <v>122</v>
      </c>
      <c r="B34" s="14" t="s">
        <v>80</v>
      </c>
      <c r="C34">
        <v>35.818888888888893</v>
      </c>
      <c r="D34">
        <v>0.48833085185185188</v>
      </c>
      <c r="E34" s="1" t="s">
        <v>40</v>
      </c>
      <c r="F34" s="1">
        <f>C34*'Calibration Data'!$B$31+'Calibration Data'!$B$30</f>
        <v>5.6625314955204518</v>
      </c>
      <c r="G34" s="15">
        <f>'Calibration Data'!$B$20</f>
        <v>0.15745067498955981</v>
      </c>
    </row>
    <row r="35" spans="1:7" x14ac:dyDescent="0.25">
      <c r="A35" t="s">
        <v>114</v>
      </c>
      <c r="B35" s="14" t="s">
        <v>80</v>
      </c>
      <c r="C35">
        <v>6.8111111111111109</v>
      </c>
      <c r="D35">
        <v>0.21318777777777781</v>
      </c>
      <c r="E35" s="1" t="s">
        <v>40</v>
      </c>
      <c r="F35" s="1">
        <f>C35*'Calibration Data'!$B$31+'Calibration Data'!$B$30</f>
        <v>1.0446769736629575</v>
      </c>
      <c r="G35" s="15">
        <f>'Calibration Data'!$B$20</f>
        <v>0.15745067498955981</v>
      </c>
    </row>
    <row r="36" spans="1:7" x14ac:dyDescent="0.25">
      <c r="A36" t="s">
        <v>115</v>
      </c>
      <c r="B36" s="14" t="s">
        <v>80</v>
      </c>
      <c r="C36">
        <v>4.7300000000000004</v>
      </c>
      <c r="D36">
        <v>0.1775326666666667</v>
      </c>
      <c r="E36" s="1" t="s">
        <v>40</v>
      </c>
      <c r="F36" s="1">
        <f>C36*'Calibration Data'!$B$31+'Calibration Data'!$B$30</f>
        <v>0.7133772640280287</v>
      </c>
      <c r="G36" s="15">
        <f>'Calibration Data'!$B$20</f>
        <v>0.15745067498955981</v>
      </c>
    </row>
    <row r="37" spans="1:7" x14ac:dyDescent="0.25">
      <c r="A37" t="s">
        <v>116</v>
      </c>
      <c r="B37" s="14" t="s">
        <v>80</v>
      </c>
      <c r="C37">
        <v>6.0861111111111112</v>
      </c>
      <c r="D37">
        <v>0.2014502777777778</v>
      </c>
      <c r="E37" s="1" t="s">
        <v>40</v>
      </c>
      <c r="F37" s="1">
        <f>C37*'Calibration Data'!$B$31+'Calibration Data'!$B$30</f>
        <v>0.92926156494069856</v>
      </c>
      <c r="G37" s="15">
        <f>'Calibration Data'!$B$20</f>
        <v>0.15745067498955981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F30" sqref="F30"/>
    </sheetView>
  </sheetViews>
  <sheetFormatPr defaultRowHeight="15" x14ac:dyDescent="0.25"/>
  <cols>
    <col min="1" max="1" width="14.570312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7.5703125" bestFit="1" customWidth="1"/>
    <col min="6" max="6" width="22.42578125" bestFit="1" customWidth="1"/>
    <col min="7" max="7" width="19.140625" bestFit="1" customWidth="1"/>
    <col min="8" max="8" width="24.42578125" bestFit="1" customWidth="1"/>
    <col min="9" max="9" width="24.7109375" bestFit="1" customWidth="1"/>
    <col min="10" max="10" width="29.85546875" bestFit="1" customWidth="1"/>
    <col min="11" max="11" width="11.28515625" bestFit="1" customWidth="1"/>
    <col min="12" max="12" width="12.42578125" bestFit="1" customWidth="1"/>
    <col min="13" max="13" width="16.85546875" bestFit="1" customWidth="1"/>
    <col min="14" max="14" width="18.140625" bestFit="1" customWidth="1"/>
    <col min="15" max="15" width="13.140625" bestFit="1" customWidth="1"/>
    <col min="16" max="16" width="14.28515625" bestFit="1" customWidth="1"/>
  </cols>
  <sheetData>
    <row r="1" spans="1:15" x14ac:dyDescent="0.25">
      <c r="A1" t="s">
        <v>10</v>
      </c>
      <c r="B1" t="s">
        <v>24</v>
      </c>
      <c r="C1" t="s">
        <v>25</v>
      </c>
      <c r="D1" t="s">
        <v>12</v>
      </c>
      <c r="E1" t="s">
        <v>72</v>
      </c>
      <c r="F1" t="s">
        <v>73</v>
      </c>
      <c r="G1" t="s">
        <v>70</v>
      </c>
      <c r="H1" t="s">
        <v>71</v>
      </c>
      <c r="I1" t="s">
        <v>74</v>
      </c>
      <c r="J1" t="s">
        <v>75</v>
      </c>
      <c r="K1" t="s">
        <v>26</v>
      </c>
      <c r="L1" t="s">
        <v>27</v>
      </c>
      <c r="M1" t="s">
        <v>28</v>
      </c>
      <c r="N1" t="s">
        <v>29</v>
      </c>
      <c r="O1" t="s">
        <v>83</v>
      </c>
    </row>
    <row r="2" spans="1:15" x14ac:dyDescent="0.25">
      <c r="A2" t="s">
        <v>87</v>
      </c>
      <c r="B2">
        <v>0.35499999999999998</v>
      </c>
      <c r="C2">
        <v>2E-3</v>
      </c>
      <c r="D2" s="1">
        <v>3.01</v>
      </c>
      <c r="E2" s="1">
        <v>100</v>
      </c>
      <c r="F2" s="1">
        <v>5</v>
      </c>
      <c r="G2" s="1">
        <f>'Count-&gt;Actual Activity'!F2</f>
        <v>31.668232087969006</v>
      </c>
      <c r="H2" s="1">
        <f>'Count-&gt;Actual Activity'!G2</f>
        <v>0.15745067498955981</v>
      </c>
      <c r="I2" s="1">
        <v>10</v>
      </c>
      <c r="J2" s="1">
        <v>0.01</v>
      </c>
      <c r="K2">
        <f>G2/I2</f>
        <v>3.1668232087969006</v>
      </c>
      <c r="L2">
        <f>SQRT((J2/I2)^2+(H2/G2)^2)*K2</f>
        <v>1.6060383550290904E-2</v>
      </c>
      <c r="M2">
        <f>B2*Parameters!$B$6</f>
        <v>327.22000000000003</v>
      </c>
      <c r="N2">
        <f>SQRT((C2/B2)^2+(Parameters!$C$6/Parameters!$B$6)^2)*'Bottle Results'!M2</f>
        <v>14.492725460908343</v>
      </c>
      <c r="O2">
        <f>(M2-K2*E2)/M2</f>
        <v>3.2203652344936044E-2</v>
      </c>
    </row>
    <row r="3" spans="1:15" x14ac:dyDescent="0.25">
      <c r="A3" t="s">
        <v>88</v>
      </c>
      <c r="B3">
        <v>0.35499999999999998</v>
      </c>
      <c r="C3">
        <v>2E-3</v>
      </c>
      <c r="D3" s="1">
        <v>3.01</v>
      </c>
      <c r="E3" s="1">
        <v>100</v>
      </c>
      <c r="F3" s="1">
        <v>5</v>
      </c>
      <c r="G3" s="1">
        <f>'Count-&gt;Actual Activity'!F3</f>
        <v>32.353383943425975</v>
      </c>
      <c r="H3" s="1">
        <f>'Count-&gt;Actual Activity'!G3</f>
        <v>0.15745067498955981</v>
      </c>
      <c r="I3" s="1">
        <v>10</v>
      </c>
      <c r="J3" s="1">
        <v>0.01</v>
      </c>
      <c r="K3">
        <f t="shared" ref="K3:K37" si="0">G3/I3</f>
        <v>3.2353383943425973</v>
      </c>
      <c r="L3">
        <f t="shared" ref="L3:L37" si="1">SQRT((J3/I3)^2+(H3/G3)^2)*K3</f>
        <v>1.6074033876802278E-2</v>
      </c>
      <c r="M3">
        <f>B3*Parameters!$B$6</f>
        <v>327.22000000000003</v>
      </c>
      <c r="N3">
        <f>SQRT((C3/B3)^2+(Parameters!$C$6/Parameters!$B$6)^2)*'Bottle Results'!M3</f>
        <v>14.492725460908343</v>
      </c>
      <c r="O3">
        <f t="shared" ref="O3:O37" si="2">(M3-K3*E3)/M3</f>
        <v>1.1265083325408883E-2</v>
      </c>
    </row>
    <row r="4" spans="1:15" x14ac:dyDescent="0.25">
      <c r="A4" t="s">
        <v>89</v>
      </c>
      <c r="B4">
        <v>0.35499999999999998</v>
      </c>
      <c r="C4">
        <v>2E-3</v>
      </c>
      <c r="D4" s="1">
        <v>3.02</v>
      </c>
      <c r="E4" s="1">
        <v>100</v>
      </c>
      <c r="F4" s="1">
        <v>5</v>
      </c>
      <c r="G4" s="1">
        <f>'Count-&gt;Actual Activity'!F4</f>
        <v>32.022172674717261</v>
      </c>
      <c r="H4" s="1">
        <f>'Count-&gt;Actual Activity'!G4</f>
        <v>0.15745067498955981</v>
      </c>
      <c r="I4" s="1">
        <v>10</v>
      </c>
      <c r="J4" s="1">
        <v>0.01</v>
      </c>
      <c r="K4">
        <f t="shared" si="0"/>
        <v>3.2022172674717262</v>
      </c>
      <c r="L4">
        <f t="shared" si="1"/>
        <v>1.6067400100040267E-2</v>
      </c>
      <c r="M4">
        <f>B4*Parameters!$B$6</f>
        <v>327.22000000000003</v>
      </c>
      <c r="N4">
        <f>SQRT((C4/B4)^2+(Parameters!$C$6/Parameters!$B$6)^2)*'Bottle Results'!M4</f>
        <v>14.492725460908343</v>
      </c>
      <c r="O4">
        <f t="shared" si="2"/>
        <v>2.1387058409716407E-2</v>
      </c>
    </row>
    <row r="5" spans="1:15" x14ac:dyDescent="0.25">
      <c r="A5" t="s">
        <v>99</v>
      </c>
      <c r="B5">
        <v>7.0999999999999994E-2</v>
      </c>
      <c r="C5">
        <v>1E-4</v>
      </c>
      <c r="D5" s="1">
        <v>2.97</v>
      </c>
      <c r="E5" s="1">
        <v>100</v>
      </c>
      <c r="F5" s="1">
        <v>5</v>
      </c>
      <c r="G5" s="1">
        <f>'Count-&gt;Actual Activity'!F5</f>
        <v>6.5771875545285754</v>
      </c>
      <c r="H5" s="1">
        <f>'Count-&gt;Actual Activity'!G5</f>
        <v>0.15745067498955981</v>
      </c>
      <c r="I5" s="1">
        <v>10</v>
      </c>
      <c r="J5" s="1">
        <v>0.01</v>
      </c>
      <c r="K5">
        <f t="shared" si="0"/>
        <v>0.65771875545285752</v>
      </c>
      <c r="L5">
        <f t="shared" si="1"/>
        <v>1.5758798955122007E-2</v>
      </c>
      <c r="M5">
        <f>B5*Parameters!$B$6</f>
        <v>65.444000000000003</v>
      </c>
      <c r="N5">
        <f>SQRT((C5/B5)^2+(Parameters!$C$6/Parameters!$B$6)^2)*'Bottle Results'!M5</f>
        <v>2.8764772145305018</v>
      </c>
      <c r="O5">
        <f t="shared" si="2"/>
        <v>-5.0100168890310735E-3</v>
      </c>
    </row>
    <row r="6" spans="1:15" x14ac:dyDescent="0.25">
      <c r="A6" t="s">
        <v>100</v>
      </c>
      <c r="B6">
        <v>7.0999999999999994E-2</v>
      </c>
      <c r="C6">
        <v>1E-4</v>
      </c>
      <c r="D6" s="1">
        <v>3.05</v>
      </c>
      <c r="E6" s="1">
        <v>100</v>
      </c>
      <c r="F6" s="1">
        <v>5</v>
      </c>
      <c r="G6" s="1">
        <f>'Count-&gt;Actual Activity'!F6</f>
        <v>6.845694206544497</v>
      </c>
      <c r="H6" s="1">
        <f>'Count-&gt;Actual Activity'!G6</f>
        <v>0.15745067498955981</v>
      </c>
      <c r="I6" s="1">
        <v>10</v>
      </c>
      <c r="J6" s="1">
        <v>0.01</v>
      </c>
      <c r="K6">
        <f t="shared" si="0"/>
        <v>0.6845694206544497</v>
      </c>
      <c r="L6">
        <f t="shared" si="1"/>
        <v>1.5759942444005789E-2</v>
      </c>
      <c r="M6">
        <f>B6*Parameters!$B$6</f>
        <v>65.444000000000003</v>
      </c>
      <c r="N6">
        <f>SQRT((C6/B6)^2+(Parameters!$C$6/Parameters!$B$6)^2)*'Bottle Results'!M6</f>
        <v>2.8764772145305018</v>
      </c>
      <c r="O6">
        <f t="shared" si="2"/>
        <v>-4.6038476643312759E-2</v>
      </c>
    </row>
    <row r="7" spans="1:15" x14ac:dyDescent="0.25">
      <c r="A7" t="s">
        <v>101</v>
      </c>
      <c r="B7">
        <v>7.0999999999999994E-2</v>
      </c>
      <c r="C7">
        <v>1E-4</v>
      </c>
      <c r="D7" s="1">
        <v>2.96</v>
      </c>
      <c r="E7" s="1">
        <v>100</v>
      </c>
      <c r="F7" s="1">
        <v>5</v>
      </c>
      <c r="G7" s="1">
        <f>'Count-&gt;Actual Activity'!F7</f>
        <v>6.6540427194171903</v>
      </c>
      <c r="H7" s="1">
        <f>'Count-&gt;Actual Activity'!G7</f>
        <v>0.15745067498955981</v>
      </c>
      <c r="I7" s="1">
        <v>10</v>
      </c>
      <c r="J7" s="1">
        <v>0.01</v>
      </c>
      <c r="K7">
        <f t="shared" si="0"/>
        <v>0.66540427194171903</v>
      </c>
      <c r="L7">
        <f t="shared" si="1"/>
        <v>1.5759121593280453E-2</v>
      </c>
      <c r="M7">
        <f>B7*Parameters!$B$6</f>
        <v>65.444000000000003</v>
      </c>
      <c r="N7">
        <f>SQRT((C7/B7)^2+(Parameters!$C$6/Parameters!$B$6)^2)*'Bottle Results'!M7</f>
        <v>2.8764772145305018</v>
      </c>
      <c r="O7">
        <f t="shared" si="2"/>
        <v>-1.6753670224495674E-2</v>
      </c>
    </row>
    <row r="8" spans="1:15" ht="15.75" customHeight="1" x14ac:dyDescent="0.25">
      <c r="A8" t="s">
        <v>102</v>
      </c>
      <c r="B8">
        <v>7.0000000000000001E-3</v>
      </c>
      <c r="C8">
        <v>1E-4</v>
      </c>
      <c r="D8" s="1">
        <v>3.01</v>
      </c>
      <c r="E8" s="1">
        <v>100</v>
      </c>
      <c r="F8" s="1">
        <v>5</v>
      </c>
      <c r="G8" s="1">
        <f>'Count-&gt;Actual Activity'!F8</f>
        <v>0.87000614437064983</v>
      </c>
      <c r="H8" s="1">
        <f>'Count-&gt;Actual Activity'!G8</f>
        <v>0.15745067498955981</v>
      </c>
      <c r="I8" s="1">
        <v>10</v>
      </c>
      <c r="J8" s="1">
        <v>0.01</v>
      </c>
      <c r="K8">
        <f t="shared" si="0"/>
        <v>8.7000614437064985E-2</v>
      </c>
      <c r="L8">
        <f t="shared" si="1"/>
        <v>1.5745307861505672E-2</v>
      </c>
      <c r="M8">
        <f>B8*Parameters!$B$6</f>
        <v>6.4522253521126771</v>
      </c>
      <c r="N8">
        <f>SQRT((C8/B8)^2+(Parameters!$C$6/Parameters!$B$6)^2)*'Bottle Results'!M8</f>
        <v>0.29806118069785642</v>
      </c>
      <c r="O8">
        <f t="shared" si="2"/>
        <v>-0.34838152248631615</v>
      </c>
    </row>
    <row r="9" spans="1:15" x14ac:dyDescent="0.25">
      <c r="A9" t="s">
        <v>103</v>
      </c>
      <c r="B9">
        <v>7.0000000000000001E-3</v>
      </c>
      <c r="C9">
        <v>1E-4</v>
      </c>
      <c r="D9" s="1">
        <v>3.01</v>
      </c>
      <c r="E9" s="1">
        <v>100</v>
      </c>
      <c r="F9" s="1">
        <v>5</v>
      </c>
      <c r="G9" s="1">
        <f>'Count-&gt;Actual Activity'!F9</f>
        <v>0.78006172240088933</v>
      </c>
      <c r="H9" s="1">
        <f>'Count-&gt;Actual Activity'!G9</f>
        <v>0.15745067498955981</v>
      </c>
      <c r="I9" s="1">
        <v>10</v>
      </c>
      <c r="J9" s="1">
        <v>0.01</v>
      </c>
      <c r="K9">
        <f t="shared" si="0"/>
        <v>7.8006172240088933E-2</v>
      </c>
      <c r="L9">
        <f t="shared" si="1"/>
        <v>1.5745260731711862E-2</v>
      </c>
      <c r="M9">
        <f>B9*Parameters!$B$6</f>
        <v>6.4522253521126771</v>
      </c>
      <c r="N9">
        <f>SQRT((C9/B9)^2+(Parameters!$C$6/Parameters!$B$6)^2)*'Bottle Results'!M9</f>
        <v>0.29806118069785642</v>
      </c>
      <c r="O9">
        <f t="shared" si="2"/>
        <v>-0.20898090167521921</v>
      </c>
    </row>
    <row r="10" spans="1:15" x14ac:dyDescent="0.25">
      <c r="A10" t="s">
        <v>104</v>
      </c>
      <c r="B10">
        <v>7.0000000000000001E-3</v>
      </c>
      <c r="C10">
        <v>1E-4</v>
      </c>
      <c r="D10" s="1">
        <v>2.99</v>
      </c>
      <c r="E10" s="1">
        <v>100</v>
      </c>
      <c r="F10" s="1">
        <v>5</v>
      </c>
      <c r="G10" s="1">
        <f>'Count-&gt;Actual Activity'!F10</f>
        <v>0.78837516946594099</v>
      </c>
      <c r="H10" s="1">
        <f>'Count-&gt;Actual Activity'!G10</f>
        <v>0.15745067498955981</v>
      </c>
      <c r="I10" s="1">
        <v>10</v>
      </c>
      <c r="J10" s="1">
        <v>0.01</v>
      </c>
      <c r="K10">
        <f t="shared" si="0"/>
        <v>7.8837516946594105E-2</v>
      </c>
      <c r="L10">
        <f t="shared" si="1"/>
        <v>1.5745264872359506E-2</v>
      </c>
      <c r="M10">
        <f>B10*Parameters!$B$6</f>
        <v>6.4522253521126771</v>
      </c>
      <c r="N10">
        <f>SQRT((C10/B10)^2+(Parameters!$C$6/Parameters!$B$6)^2)*'Bottle Results'!M10</f>
        <v>0.29806118069785642</v>
      </c>
      <c r="O10">
        <f t="shared" si="2"/>
        <v>-0.22186552149453412</v>
      </c>
    </row>
    <row r="11" spans="1:15" x14ac:dyDescent="0.25">
      <c r="A11" t="s">
        <v>90</v>
      </c>
      <c r="B11">
        <v>0.35499999999999998</v>
      </c>
      <c r="C11">
        <v>2E-3</v>
      </c>
      <c r="D11" s="1">
        <v>5.0199999999999996</v>
      </c>
      <c r="E11" s="1">
        <v>100</v>
      </c>
      <c r="F11" s="1">
        <v>5</v>
      </c>
      <c r="G11" s="1">
        <f>'Count-&gt;Actual Activity'!F11</f>
        <v>29.423955144109968</v>
      </c>
      <c r="H11" s="1">
        <f>'Count-&gt;Actual Activity'!G11</f>
        <v>0.15745067498955981</v>
      </c>
      <c r="I11" s="1">
        <v>10</v>
      </c>
      <c r="J11" s="1">
        <v>0.01</v>
      </c>
      <c r="K11">
        <f t="shared" si="0"/>
        <v>2.9423955144109968</v>
      </c>
      <c r="L11">
        <f t="shared" si="1"/>
        <v>1.6017641583888242E-2</v>
      </c>
      <c r="M11">
        <f>B11*Parameters!$B$6</f>
        <v>327.22000000000003</v>
      </c>
      <c r="N11">
        <f>SQRT((C11/B11)^2+(Parameters!$C$6/Parameters!$B$6)^2)*'Bottle Results'!M11</f>
        <v>14.492725460908343</v>
      </c>
      <c r="O11">
        <f t="shared" si="2"/>
        <v>0.10078983118055228</v>
      </c>
    </row>
    <row r="12" spans="1:15" x14ac:dyDescent="0.25">
      <c r="A12" t="s">
        <v>91</v>
      </c>
      <c r="B12">
        <v>0.35499999999999998</v>
      </c>
      <c r="C12">
        <v>2E-3</v>
      </c>
      <c r="D12" s="1">
        <v>5.05</v>
      </c>
      <c r="E12" s="1">
        <v>100</v>
      </c>
      <c r="F12" s="1">
        <v>5</v>
      </c>
      <c r="G12" s="1">
        <f>'Count-&gt;Actual Activity'!F12</f>
        <v>30.138027182442169</v>
      </c>
      <c r="H12" s="1">
        <f>'Count-&gt;Actual Activity'!G12</f>
        <v>0.15745067498955981</v>
      </c>
      <c r="I12" s="1">
        <v>10</v>
      </c>
      <c r="J12" s="1">
        <v>0.01</v>
      </c>
      <c r="K12">
        <f t="shared" si="0"/>
        <v>3.0138027182442171</v>
      </c>
      <c r="L12">
        <f t="shared" si="1"/>
        <v>1.6030912555783476E-2</v>
      </c>
      <c r="M12">
        <f>B12*Parameters!$B$6</f>
        <v>327.22000000000003</v>
      </c>
      <c r="N12">
        <f>SQRT((C12/B12)^2+(Parameters!$C$6/Parameters!$B$6)^2)*'Bottle Results'!M12</f>
        <v>14.492725460908343</v>
      </c>
      <c r="O12">
        <f t="shared" si="2"/>
        <v>7.896744751414439E-2</v>
      </c>
    </row>
    <row r="13" spans="1:15" x14ac:dyDescent="0.25">
      <c r="A13" t="s">
        <v>92</v>
      </c>
      <c r="B13">
        <v>0.35499999999999998</v>
      </c>
      <c r="C13">
        <v>2E-3</v>
      </c>
      <c r="D13" s="1">
        <v>5.05</v>
      </c>
      <c r="E13" s="1">
        <v>100</v>
      </c>
      <c r="F13" s="1">
        <v>5</v>
      </c>
      <c r="G13" s="1">
        <f>'Count-&gt;Actual Activity'!F13</f>
        <v>30.161375586965285</v>
      </c>
      <c r="H13" s="1">
        <f>'Count-&gt;Actual Activity'!G13</f>
        <v>0.15745067498955981</v>
      </c>
      <c r="I13" s="1">
        <v>10</v>
      </c>
      <c r="J13" s="1">
        <v>0.01</v>
      </c>
      <c r="K13">
        <f t="shared" si="0"/>
        <v>3.0161375586965287</v>
      </c>
      <c r="L13">
        <f t="shared" si="1"/>
        <v>1.6031351668516908E-2</v>
      </c>
      <c r="M13">
        <f>B13*Parameters!$B$6</f>
        <v>327.22000000000003</v>
      </c>
      <c r="N13">
        <f>SQRT((C13/B13)^2+(Parameters!$C$6/Parameters!$B$6)^2)*'Bottle Results'!M13</f>
        <v>14.492725460908343</v>
      </c>
      <c r="O13">
        <f t="shared" si="2"/>
        <v>7.8253909083635276E-2</v>
      </c>
    </row>
    <row r="14" spans="1:15" x14ac:dyDescent="0.25">
      <c r="A14" t="s">
        <v>105</v>
      </c>
      <c r="B14">
        <v>7.0999999999999994E-2</v>
      </c>
      <c r="C14">
        <v>1E-4</v>
      </c>
      <c r="D14" s="1">
        <v>5.0199999999999996</v>
      </c>
      <c r="E14" s="1">
        <v>100</v>
      </c>
      <c r="F14" s="1">
        <v>5</v>
      </c>
      <c r="G14" s="1">
        <f>'Count-&gt;Actual Activity'!F14</f>
        <v>6.2355402565254439</v>
      </c>
      <c r="H14" s="1">
        <f>'Count-&gt;Actual Activity'!G14</f>
        <v>0.15745067498955981</v>
      </c>
      <c r="I14" s="1">
        <v>10</v>
      </c>
      <c r="J14" s="1">
        <v>0.01</v>
      </c>
      <c r="K14">
        <f t="shared" si="0"/>
        <v>0.62355402565254436</v>
      </c>
      <c r="L14">
        <f t="shared" si="1"/>
        <v>1.5757410008297286E-2</v>
      </c>
      <c r="M14">
        <f>B14*Parameters!$B$6</f>
        <v>65.444000000000003</v>
      </c>
      <c r="N14">
        <f>SQRT((C14/B14)^2+(Parameters!$C$6/Parameters!$B$6)^2)*'Bottle Results'!M14</f>
        <v>2.8764772145305018</v>
      </c>
      <c r="O14">
        <f t="shared" si="2"/>
        <v>4.7194508812810426E-2</v>
      </c>
    </row>
    <row r="15" spans="1:15" x14ac:dyDescent="0.25">
      <c r="A15" t="s">
        <v>106</v>
      </c>
      <c r="B15">
        <v>7.0999999999999994E-2</v>
      </c>
      <c r="C15">
        <v>1E-4</v>
      </c>
      <c r="D15" s="1">
        <v>4.97</v>
      </c>
      <c r="E15" s="1">
        <v>100</v>
      </c>
      <c r="F15" s="1">
        <v>5</v>
      </c>
      <c r="G15" s="1">
        <f>'Count-&gt;Actual Activity'!F15</f>
        <v>6.3137220353074186</v>
      </c>
      <c r="H15" s="1">
        <f>'Count-&gt;Actual Activity'!G15</f>
        <v>0.15745067498955981</v>
      </c>
      <c r="I15" s="1">
        <v>10</v>
      </c>
      <c r="J15" s="1">
        <v>0.01</v>
      </c>
      <c r="K15">
        <f t="shared" si="0"/>
        <v>0.63137220353074186</v>
      </c>
      <c r="L15">
        <f t="shared" si="1"/>
        <v>1.5757721326577368E-2</v>
      </c>
      <c r="M15">
        <f>B15*Parameters!$B$6</f>
        <v>65.444000000000003</v>
      </c>
      <c r="N15">
        <f>SQRT((C15/B15)^2+(Parameters!$C$6/Parameters!$B$6)^2)*'Bottle Results'!M15</f>
        <v>2.8764772145305018</v>
      </c>
      <c r="O15">
        <f t="shared" si="2"/>
        <v>3.5248145695951014E-2</v>
      </c>
    </row>
    <row r="16" spans="1:15" x14ac:dyDescent="0.25">
      <c r="A16" t="s">
        <v>107</v>
      </c>
      <c r="B16">
        <v>7.0999999999999994E-2</v>
      </c>
      <c r="C16">
        <v>1E-4</v>
      </c>
      <c r="D16" s="1">
        <v>4.96</v>
      </c>
      <c r="E16" s="1">
        <v>100</v>
      </c>
      <c r="F16" s="1">
        <v>5</v>
      </c>
      <c r="G16" s="1">
        <f>'Count-&gt;Actual Activity'!F16</f>
        <v>6.3575887347145006</v>
      </c>
      <c r="H16" s="1">
        <f>'Count-&gt;Actual Activity'!G16</f>
        <v>0.15745067498955981</v>
      </c>
      <c r="I16" s="1">
        <v>10</v>
      </c>
      <c r="J16" s="1">
        <v>0.01</v>
      </c>
      <c r="K16">
        <f t="shared" si="0"/>
        <v>0.6357588734714501</v>
      </c>
      <c r="L16">
        <f t="shared" si="1"/>
        <v>1.5757897698991375E-2</v>
      </c>
      <c r="M16">
        <f>B16*Parameters!$B$6</f>
        <v>65.444000000000003</v>
      </c>
      <c r="N16">
        <f>SQRT((C16/B16)^2+(Parameters!$C$6/Parameters!$B$6)^2)*'Bottle Results'!M16</f>
        <v>2.8764772145305018</v>
      </c>
      <c r="O16">
        <f t="shared" si="2"/>
        <v>2.8545208924500177E-2</v>
      </c>
    </row>
    <row r="17" spans="1:15" x14ac:dyDescent="0.25">
      <c r="A17" t="s">
        <v>108</v>
      </c>
      <c r="B17">
        <v>7.0000000000000001E-3</v>
      </c>
      <c r="C17">
        <v>1E-4</v>
      </c>
      <c r="D17" s="1">
        <v>4.97</v>
      </c>
      <c r="E17" s="1">
        <v>100</v>
      </c>
      <c r="F17" s="1">
        <v>5</v>
      </c>
      <c r="G17" s="1">
        <f>'Count-&gt;Actual Activity'!F17</f>
        <v>0.87805426865702951</v>
      </c>
      <c r="H17" s="1">
        <f>'Count-&gt;Actual Activity'!G17</f>
        <v>0.15745067498955981</v>
      </c>
      <c r="I17" s="1">
        <v>10</v>
      </c>
      <c r="J17" s="1">
        <v>0.01</v>
      </c>
      <c r="K17">
        <f t="shared" si="0"/>
        <v>8.7805426865702946E-2</v>
      </c>
      <c r="L17">
        <f t="shared" si="1"/>
        <v>1.5745312329060578E-2</v>
      </c>
      <c r="M17">
        <f>B17*Parameters!$B$6</f>
        <v>6.4522253521126771</v>
      </c>
      <c r="N17">
        <f>SQRT((C17/B17)^2+(Parameters!$C$6/Parameters!$B$6)^2)*'Bottle Results'!M17</f>
        <v>0.29806118069785642</v>
      </c>
      <c r="O17">
        <f t="shared" si="2"/>
        <v>-0.36085493103480143</v>
      </c>
    </row>
    <row r="18" spans="1:15" x14ac:dyDescent="0.25">
      <c r="A18" t="s">
        <v>109</v>
      </c>
      <c r="B18">
        <v>7.0000000000000001E-3</v>
      </c>
      <c r="C18">
        <v>1E-4</v>
      </c>
      <c r="D18" s="1">
        <v>5.05</v>
      </c>
      <c r="E18" s="1">
        <v>100</v>
      </c>
      <c r="F18" s="1">
        <v>5</v>
      </c>
      <c r="G18" s="1">
        <f>'Count-&gt;Actual Activity'!F18</f>
        <v>0.7837762413022954</v>
      </c>
      <c r="H18" s="1">
        <f>'Count-&gt;Actual Activity'!G18</f>
        <v>0.15745067498955981</v>
      </c>
      <c r="I18" s="1">
        <v>10</v>
      </c>
      <c r="J18" s="1">
        <v>0.01</v>
      </c>
      <c r="K18">
        <f t="shared" si="0"/>
        <v>7.8377624130229542E-2</v>
      </c>
      <c r="L18">
        <f t="shared" si="1"/>
        <v>1.5745262576363859E-2</v>
      </c>
      <c r="M18">
        <f>B18*Parameters!$B$6</f>
        <v>6.4522253521126771</v>
      </c>
      <c r="N18">
        <f>SQRT((C18/B18)^2+(Parameters!$C$6/Parameters!$B$6)^2)*'Bottle Results'!M18</f>
        <v>0.29806118069785642</v>
      </c>
      <c r="O18">
        <f t="shared" si="2"/>
        <v>-0.21473785946682802</v>
      </c>
    </row>
    <row r="19" spans="1:15" x14ac:dyDescent="0.25">
      <c r="A19" t="s">
        <v>110</v>
      </c>
      <c r="B19">
        <v>7.0000000000000001E-3</v>
      </c>
      <c r="C19">
        <v>1E-4</v>
      </c>
      <c r="D19" s="1">
        <v>4.9800000000000004</v>
      </c>
      <c r="E19" s="1">
        <v>100</v>
      </c>
      <c r="F19" s="1">
        <v>5</v>
      </c>
      <c r="G19" s="1">
        <f>'Count-&gt;Actual Activity'!F19</f>
        <v>0.76396547382812996</v>
      </c>
      <c r="H19" s="1">
        <f>'Count-&gt;Actual Activity'!G19</f>
        <v>0.15745067498955981</v>
      </c>
      <c r="I19" s="1">
        <v>10</v>
      </c>
      <c r="J19" s="1">
        <v>0.01</v>
      </c>
      <c r="K19">
        <f t="shared" si="0"/>
        <v>7.6396547382812999E-2</v>
      </c>
      <c r="L19">
        <f t="shared" si="1"/>
        <v>1.5745252839479331E-2</v>
      </c>
      <c r="M19">
        <f>B19*Parameters!$B$6</f>
        <v>6.4522253521126771</v>
      </c>
      <c r="N19">
        <f>SQRT((C19/B19)^2+(Parameters!$C$6/Parameters!$B$6)^2)*'Bottle Results'!M19</f>
        <v>0.29806118069785642</v>
      </c>
      <c r="O19">
        <f t="shared" si="2"/>
        <v>-0.18403408457824844</v>
      </c>
    </row>
    <row r="20" spans="1:15" x14ac:dyDescent="0.25">
      <c r="A20" t="s">
        <v>93</v>
      </c>
      <c r="B20">
        <v>0.35499999999999998</v>
      </c>
      <c r="C20">
        <v>2E-3</v>
      </c>
      <c r="D20" s="1">
        <v>6.95</v>
      </c>
      <c r="E20" s="1">
        <v>100</v>
      </c>
      <c r="F20" s="1">
        <v>5</v>
      </c>
      <c r="G20" s="1">
        <f>'Count-&gt;Actual Activity'!F20</f>
        <v>26.893660244842671</v>
      </c>
      <c r="H20" s="1">
        <f>'Count-&gt;Actual Activity'!G20</f>
        <v>0.15745067498955981</v>
      </c>
      <c r="I20" s="1">
        <v>10</v>
      </c>
      <c r="J20" s="1">
        <v>0.01</v>
      </c>
      <c r="K20">
        <f t="shared" si="0"/>
        <v>2.6893660244842672</v>
      </c>
      <c r="L20">
        <f t="shared" si="1"/>
        <v>1.5973097387805855E-2</v>
      </c>
      <c r="M20">
        <f>B20*Parameters!$B$6</f>
        <v>327.22000000000003</v>
      </c>
      <c r="N20">
        <f>SQRT((C20/B20)^2+(Parameters!$C$6/Parameters!$B$6)^2)*'Bottle Results'!M20</f>
        <v>14.492725460908343</v>
      </c>
      <c r="O20">
        <f t="shared" si="2"/>
        <v>0.17811685578990688</v>
      </c>
    </row>
    <row r="21" spans="1:15" x14ac:dyDescent="0.25">
      <c r="A21" t="s">
        <v>94</v>
      </c>
      <c r="B21">
        <v>0.35499999999999998</v>
      </c>
      <c r="C21">
        <v>2E-3</v>
      </c>
      <c r="D21" s="1">
        <v>6.95</v>
      </c>
      <c r="E21" s="1">
        <v>100</v>
      </c>
      <c r="F21" s="1">
        <v>5</v>
      </c>
      <c r="G21" s="1">
        <f>'Count-&gt;Actual Activity'!F21</f>
        <v>28.218770642456146</v>
      </c>
      <c r="H21" s="1">
        <f>'Count-&gt;Actual Activity'!G21</f>
        <v>0.15745067498955981</v>
      </c>
      <c r="I21" s="1">
        <v>10</v>
      </c>
      <c r="J21" s="1">
        <v>0.01</v>
      </c>
      <c r="K21">
        <f t="shared" si="0"/>
        <v>2.8218770642456148</v>
      </c>
      <c r="L21">
        <f t="shared" si="1"/>
        <v>1.5995941382500604E-2</v>
      </c>
      <c r="M21">
        <f>B21*Parameters!$B$6</f>
        <v>327.22000000000003</v>
      </c>
      <c r="N21">
        <f>SQRT((C21/B21)^2+(Parameters!$C$6/Parameters!$B$6)^2)*'Bottle Results'!M21</f>
        <v>14.492725460908343</v>
      </c>
      <c r="O21">
        <f t="shared" si="2"/>
        <v>0.13762084706142205</v>
      </c>
    </row>
    <row r="22" spans="1:15" x14ac:dyDescent="0.25">
      <c r="A22" t="s">
        <v>95</v>
      </c>
      <c r="B22">
        <v>0.35499999999999998</v>
      </c>
      <c r="C22">
        <v>2E-3</v>
      </c>
      <c r="D22" s="1">
        <v>6.96</v>
      </c>
      <c r="E22" s="1">
        <v>100</v>
      </c>
      <c r="F22" s="1">
        <v>5</v>
      </c>
      <c r="G22" s="1">
        <f>'Count-&gt;Actual Activity'!F22</f>
        <v>27.375044206279632</v>
      </c>
      <c r="H22" s="1">
        <f>'Count-&gt;Actual Activity'!G22</f>
        <v>0.15745067498955981</v>
      </c>
      <c r="I22" s="1">
        <v>10</v>
      </c>
      <c r="J22" s="1">
        <v>0.01</v>
      </c>
      <c r="K22">
        <f t="shared" si="0"/>
        <v>2.7375044206279631</v>
      </c>
      <c r="L22">
        <f t="shared" si="1"/>
        <v>1.598127282163838E-2</v>
      </c>
      <c r="M22">
        <f>B22*Parameters!$B$6</f>
        <v>327.22000000000003</v>
      </c>
      <c r="N22">
        <f>SQRT((C22/B22)^2+(Parameters!$C$6/Parameters!$B$6)^2)*'Bottle Results'!M22</f>
        <v>14.492725460908343</v>
      </c>
      <c r="O22">
        <f t="shared" si="2"/>
        <v>0.16340553125482463</v>
      </c>
    </row>
    <row r="23" spans="1:15" x14ac:dyDescent="0.25">
      <c r="A23" t="s">
        <v>111</v>
      </c>
      <c r="B23">
        <v>7.0999999999999994E-2</v>
      </c>
      <c r="C23">
        <v>1E-4</v>
      </c>
      <c r="D23" s="1">
        <v>6.97</v>
      </c>
      <c r="E23" s="1">
        <v>100</v>
      </c>
      <c r="F23" s="1">
        <v>5</v>
      </c>
      <c r="G23" s="1">
        <f>'Count-&gt;Actual Activity'!F23</f>
        <v>5.9614618261574144</v>
      </c>
      <c r="H23" s="1">
        <f>'Count-&gt;Actual Activity'!G23</f>
        <v>0.15745067498955981</v>
      </c>
      <c r="I23" s="1">
        <v>10</v>
      </c>
      <c r="J23" s="1">
        <v>0.01</v>
      </c>
      <c r="K23">
        <f t="shared" si="0"/>
        <v>0.59614618261574148</v>
      </c>
      <c r="L23">
        <f t="shared" si="1"/>
        <v>1.5756349222384204E-2</v>
      </c>
      <c r="M23">
        <f>B23*Parameters!$B$6</f>
        <v>65.444000000000003</v>
      </c>
      <c r="N23">
        <f>SQRT((C23/B23)^2+(Parameters!$C$6/Parameters!$B$6)^2)*'Bottle Results'!M23</f>
        <v>2.8764772145305018</v>
      </c>
      <c r="O23">
        <f t="shared" si="2"/>
        <v>8.9074349648949502E-2</v>
      </c>
    </row>
    <row r="24" spans="1:15" x14ac:dyDescent="0.25">
      <c r="A24" t="s">
        <v>112</v>
      </c>
      <c r="B24">
        <v>7.0999999999999994E-2</v>
      </c>
      <c r="C24">
        <v>1E-4</v>
      </c>
      <c r="D24" s="1">
        <v>6.95</v>
      </c>
      <c r="E24" s="1">
        <v>100</v>
      </c>
      <c r="F24" s="1">
        <v>5</v>
      </c>
      <c r="G24" s="1">
        <f>'Count-&gt;Actual Activity'!F24</f>
        <v>5.6719062337001898</v>
      </c>
      <c r="H24" s="1">
        <f>'Count-&gt;Actual Activity'!G24</f>
        <v>0.15745067498955981</v>
      </c>
      <c r="I24" s="1">
        <v>10</v>
      </c>
      <c r="J24" s="1">
        <v>0.01</v>
      </c>
      <c r="K24">
        <f t="shared" si="0"/>
        <v>0.56719062337001902</v>
      </c>
      <c r="L24">
        <f t="shared" si="1"/>
        <v>1.5755280249805742E-2</v>
      </c>
      <c r="M24">
        <f>B24*Parameters!$B$6</f>
        <v>65.444000000000003</v>
      </c>
      <c r="N24">
        <f>SQRT((C24/B24)^2+(Parameters!$C$6/Parameters!$B$6)^2)*'Bottle Results'!M24</f>
        <v>2.8764772145305018</v>
      </c>
      <c r="O24">
        <f t="shared" si="2"/>
        <v>0.1333191379346938</v>
      </c>
    </row>
    <row r="25" spans="1:15" x14ac:dyDescent="0.25">
      <c r="A25" t="s">
        <v>113</v>
      </c>
      <c r="B25">
        <v>7.0999999999999994E-2</v>
      </c>
      <c r="C25">
        <v>1E-4</v>
      </c>
      <c r="D25" s="1">
        <v>6.96</v>
      </c>
      <c r="E25" s="1">
        <v>100</v>
      </c>
      <c r="F25" s="1">
        <v>5</v>
      </c>
      <c r="G25" s="1">
        <f>'Count-&gt;Actual Activity'!F25</f>
        <v>5.8756741277201767</v>
      </c>
      <c r="H25" s="1">
        <f>'Count-&gt;Actual Activity'!G25</f>
        <v>0.15745067498955981</v>
      </c>
      <c r="I25" s="1">
        <v>10</v>
      </c>
      <c r="J25" s="1">
        <v>0.01</v>
      </c>
      <c r="K25">
        <f t="shared" si="0"/>
        <v>0.58756741277201763</v>
      </c>
      <c r="L25">
        <f t="shared" si="1"/>
        <v>1.5756026974184562E-2</v>
      </c>
      <c r="M25">
        <f>B25*Parameters!$B$6</f>
        <v>65.444000000000003</v>
      </c>
      <c r="N25">
        <f>SQRT((C25/B25)^2+(Parameters!$C$6/Parameters!$B$6)^2)*'Bottle Results'!M25</f>
        <v>2.8764772145305018</v>
      </c>
      <c r="O25">
        <f t="shared" si="2"/>
        <v>0.10218291551247236</v>
      </c>
    </row>
    <row r="26" spans="1:15" x14ac:dyDescent="0.25">
      <c r="A26" t="s">
        <v>117</v>
      </c>
      <c r="B26">
        <v>7.0000000000000001E-3</v>
      </c>
      <c r="C26">
        <v>1E-4</v>
      </c>
      <c r="D26" s="1">
        <v>6.97</v>
      </c>
      <c r="E26" s="1">
        <v>100</v>
      </c>
      <c r="F26" s="1">
        <v>5</v>
      </c>
      <c r="G26" s="1">
        <f>'Count-&gt;Actual Activity'!F26</f>
        <v>1.0456498238514211</v>
      </c>
      <c r="H26" s="1">
        <f>'Count-&gt;Actual Activity'!G26</f>
        <v>0.15745067498955981</v>
      </c>
      <c r="I26" s="1">
        <v>10</v>
      </c>
      <c r="J26" s="1">
        <v>0.01</v>
      </c>
      <c r="K26">
        <f t="shared" si="0"/>
        <v>0.10456498238514211</v>
      </c>
      <c r="L26">
        <f t="shared" si="1"/>
        <v>1.5745414709756652E-2</v>
      </c>
      <c r="M26">
        <f>B26*Parameters!$B$6</f>
        <v>6.4522253521126771</v>
      </c>
      <c r="N26">
        <f>SQRT((C26/B26)^2+(Parameters!$C$6/Parameters!$B$6)^2)*'Bottle Results'!M26</f>
        <v>0.29806118069785642</v>
      </c>
      <c r="O26">
        <f t="shared" si="2"/>
        <v>-0.6206033837752426</v>
      </c>
    </row>
    <row r="27" spans="1:15" x14ac:dyDescent="0.25">
      <c r="A27" t="s">
        <v>118</v>
      </c>
      <c r="B27">
        <v>7.0000000000000001E-3</v>
      </c>
      <c r="C27">
        <v>1E-4</v>
      </c>
      <c r="D27" s="1">
        <v>7</v>
      </c>
      <c r="E27" s="1">
        <v>100</v>
      </c>
      <c r="F27" s="1">
        <v>5</v>
      </c>
      <c r="G27" s="1">
        <f>'Count-&gt;Actual Activity'!F27</f>
        <v>0.88645615664830524</v>
      </c>
      <c r="H27" s="1">
        <f>'Count-&gt;Actual Activity'!G27</f>
        <v>0.15745067498955981</v>
      </c>
      <c r="I27" s="1">
        <v>10</v>
      </c>
      <c r="J27" s="1">
        <v>0.01</v>
      </c>
      <c r="K27">
        <f t="shared" si="0"/>
        <v>8.8645615664830521E-2</v>
      </c>
      <c r="L27">
        <f t="shared" si="1"/>
        <v>1.5745317036879775E-2</v>
      </c>
      <c r="M27">
        <f>B27*Parameters!$B$6</f>
        <v>6.4522253521126771</v>
      </c>
      <c r="N27">
        <f>SQRT((C27/B27)^2+(Parameters!$C$6/Parameters!$B$6)^2)*'Bottle Results'!M27</f>
        <v>0.29806118069785642</v>
      </c>
      <c r="O27">
        <f t="shared" si="2"/>
        <v>-0.37387662127772631</v>
      </c>
    </row>
    <row r="28" spans="1:15" x14ac:dyDescent="0.25">
      <c r="A28" t="s">
        <v>119</v>
      </c>
      <c r="B28">
        <v>7.0000000000000001E-3</v>
      </c>
      <c r="C28">
        <v>1E-4</v>
      </c>
      <c r="D28" s="1">
        <v>6.98</v>
      </c>
      <c r="E28" s="1">
        <v>100</v>
      </c>
      <c r="F28" s="1">
        <v>5</v>
      </c>
      <c r="G28" s="1">
        <f>'Count-&gt;Actual Activity'!F28</f>
        <v>0.7216022701668563</v>
      </c>
      <c r="H28" s="1">
        <f>'Count-&gt;Actual Activity'!G28</f>
        <v>0.15745067498955981</v>
      </c>
      <c r="I28" s="1">
        <v>10</v>
      </c>
      <c r="J28" s="1">
        <v>0.01</v>
      </c>
      <c r="K28">
        <f t="shared" si="0"/>
        <v>7.2160227016685632E-2</v>
      </c>
      <c r="L28">
        <f t="shared" si="1"/>
        <v>1.57452328545831E-2</v>
      </c>
      <c r="M28">
        <f>B28*Parameters!$B$6</f>
        <v>6.4522253521126771</v>
      </c>
      <c r="N28">
        <f>SQRT((C28/B28)^2+(Parameters!$C$6/Parameters!$B$6)^2)*'Bottle Results'!M28</f>
        <v>0.29806118069785642</v>
      </c>
      <c r="O28">
        <f t="shared" si="2"/>
        <v>-0.11837735166918693</v>
      </c>
    </row>
    <row r="29" spans="1:15" x14ac:dyDescent="0.25">
      <c r="A29" t="s">
        <v>96</v>
      </c>
      <c r="B29">
        <v>0.35499999999999998</v>
      </c>
      <c r="C29">
        <v>2E-3</v>
      </c>
      <c r="D29" s="1">
        <v>8.9700000000000006</v>
      </c>
      <c r="E29" s="1">
        <v>100</v>
      </c>
      <c r="F29" s="1">
        <v>5</v>
      </c>
      <c r="G29" s="1">
        <f>'Count-&gt;Actual Activity'!F29</f>
        <v>24.361508086124655</v>
      </c>
      <c r="H29" s="1">
        <f>'Count-&gt;Actual Activity'!G29</f>
        <v>0.15745067498955981</v>
      </c>
      <c r="I29" s="1">
        <v>10</v>
      </c>
      <c r="J29" s="1">
        <v>0.01</v>
      </c>
      <c r="K29">
        <f t="shared" si="0"/>
        <v>2.4361508086124655</v>
      </c>
      <c r="L29">
        <f t="shared" si="1"/>
        <v>1.5932419191980331E-2</v>
      </c>
      <c r="M29">
        <f>B29*Parameters!$B$6</f>
        <v>327.22000000000003</v>
      </c>
      <c r="N29">
        <f>SQRT((C29/B29)^2+(Parameters!$C$6/Parameters!$B$6)^2)*'Bottle Results'!M29</f>
        <v>14.492725460908343</v>
      </c>
      <c r="O29">
        <f t="shared" si="2"/>
        <v>0.25550063913805227</v>
      </c>
    </row>
    <row r="30" spans="1:15" x14ac:dyDescent="0.25">
      <c r="A30" t="s">
        <v>97</v>
      </c>
      <c r="B30">
        <v>0.35499999999999998</v>
      </c>
      <c r="C30">
        <v>2E-3</v>
      </c>
      <c r="D30" s="1">
        <v>8.9600000000000009</v>
      </c>
      <c r="E30" s="1">
        <v>100</v>
      </c>
      <c r="F30" s="1">
        <v>5</v>
      </c>
      <c r="G30" s="1">
        <f>'Count-&gt;Actual Activity'!F30</f>
        <v>26.974318369558905</v>
      </c>
      <c r="H30" s="1">
        <f>'Count-&gt;Actual Activity'!G30</f>
        <v>0.15745067498955981</v>
      </c>
      <c r="I30" s="1">
        <v>10</v>
      </c>
      <c r="J30" s="1">
        <v>0.01</v>
      </c>
      <c r="K30">
        <f t="shared" si="0"/>
        <v>2.6974318369558903</v>
      </c>
      <c r="L30">
        <f t="shared" si="1"/>
        <v>1.5974457394907129E-2</v>
      </c>
      <c r="M30">
        <f>B30*Parameters!$B$6</f>
        <v>327.22000000000003</v>
      </c>
      <c r="N30">
        <f>SQRT((C30/B30)^2+(Parameters!$C$6/Parameters!$B$6)^2)*'Bottle Results'!M30</f>
        <v>14.492725460908343</v>
      </c>
      <c r="O30">
        <f t="shared" si="2"/>
        <v>0.17565190484814799</v>
      </c>
    </row>
    <row r="31" spans="1:15" x14ac:dyDescent="0.25">
      <c r="A31" t="s">
        <v>98</v>
      </c>
      <c r="B31">
        <v>0.35499999999999998</v>
      </c>
      <c r="C31">
        <v>2E-3</v>
      </c>
      <c r="D31" s="1">
        <v>8.9700000000000006</v>
      </c>
      <c r="E31" s="1">
        <v>100</v>
      </c>
      <c r="F31" s="1">
        <v>5</v>
      </c>
      <c r="G31" s="1">
        <f>'Count-&gt;Actual Activity'!F31</f>
        <v>26.746229220827328</v>
      </c>
      <c r="H31" s="1">
        <f>'Count-&gt;Actual Activity'!G31</f>
        <v>0.15745067498955981</v>
      </c>
      <c r="I31" s="1">
        <v>10</v>
      </c>
      <c r="J31" s="1">
        <v>0.01</v>
      </c>
      <c r="K31">
        <f t="shared" si="0"/>
        <v>2.6746229220827327</v>
      </c>
      <c r="L31">
        <f t="shared" si="1"/>
        <v>1.5970621726220002E-2</v>
      </c>
      <c r="M31">
        <f>B31*Parameters!$B$6</f>
        <v>327.22000000000003</v>
      </c>
      <c r="N31">
        <f>SQRT((C31/B31)^2+(Parameters!$C$6/Parameters!$B$6)^2)*'Bottle Results'!M31</f>
        <v>14.492725460908343</v>
      </c>
      <c r="O31">
        <f t="shared" si="2"/>
        <v>0.18262241853103958</v>
      </c>
    </row>
    <row r="32" spans="1:15" x14ac:dyDescent="0.25">
      <c r="A32" t="s">
        <v>120</v>
      </c>
      <c r="B32">
        <v>7.0999999999999994E-2</v>
      </c>
      <c r="C32">
        <v>1E-4</v>
      </c>
      <c r="D32" s="1">
        <v>8.9700000000000006</v>
      </c>
      <c r="E32" s="1">
        <v>100</v>
      </c>
      <c r="F32" s="1">
        <v>5</v>
      </c>
      <c r="G32" s="1">
        <f>'Count-&gt;Actual Activity'!F32</f>
        <v>5.3811124682758305</v>
      </c>
      <c r="H32" s="1">
        <f>'Count-&gt;Actual Activity'!G32</f>
        <v>0.15745067498955981</v>
      </c>
      <c r="I32" s="1">
        <v>10</v>
      </c>
      <c r="J32" s="1">
        <v>0.01</v>
      </c>
      <c r="K32">
        <f t="shared" si="0"/>
        <v>0.53811124682758305</v>
      </c>
      <c r="L32">
        <f t="shared" si="1"/>
        <v>1.5754260194012357E-2</v>
      </c>
      <c r="M32">
        <f>B32*Parameters!$B$6</f>
        <v>65.444000000000003</v>
      </c>
      <c r="N32">
        <f>SQRT((C32/B32)^2+(Parameters!$C$6/Parameters!$B$6)^2)*'Bottle Results'!M32</f>
        <v>2.8764772145305018</v>
      </c>
      <c r="O32">
        <f t="shared" si="2"/>
        <v>0.17775312201640636</v>
      </c>
    </row>
    <row r="33" spans="1:15" x14ac:dyDescent="0.25">
      <c r="A33" t="s">
        <v>121</v>
      </c>
      <c r="B33">
        <v>7.0999999999999994E-2</v>
      </c>
      <c r="C33">
        <v>1E-4</v>
      </c>
      <c r="D33" s="1">
        <v>8.98</v>
      </c>
      <c r="E33" s="1">
        <v>100</v>
      </c>
      <c r="F33" s="1">
        <v>5</v>
      </c>
      <c r="G33" s="1">
        <f>'Count-&gt;Actual Activity'!F33</f>
        <v>5.3906640883080188</v>
      </c>
      <c r="H33" s="1">
        <f>'Count-&gt;Actual Activity'!G33</f>
        <v>0.15745067498955981</v>
      </c>
      <c r="I33" s="1">
        <v>10</v>
      </c>
      <c r="J33" s="1">
        <v>0.01</v>
      </c>
      <c r="K33">
        <f t="shared" si="0"/>
        <v>0.53906640883080192</v>
      </c>
      <c r="L33">
        <f t="shared" si="1"/>
        <v>1.5754292847976699E-2</v>
      </c>
      <c r="M33">
        <f>B33*Parameters!$B$6</f>
        <v>65.444000000000003</v>
      </c>
      <c r="N33">
        <f>SQRT((C33/B33)^2+(Parameters!$C$6/Parameters!$B$6)^2)*'Bottle Results'!M33</f>
        <v>2.8764772145305018</v>
      </c>
      <c r="O33">
        <f t="shared" si="2"/>
        <v>0.17629361159036441</v>
      </c>
    </row>
    <row r="34" spans="1:15" x14ac:dyDescent="0.25">
      <c r="A34" t="s">
        <v>122</v>
      </c>
      <c r="B34">
        <v>7.0999999999999994E-2</v>
      </c>
      <c r="C34">
        <v>1E-4</v>
      </c>
      <c r="D34" s="1">
        <v>8.9600000000000009</v>
      </c>
      <c r="E34" s="1">
        <v>100</v>
      </c>
      <c r="F34" s="1">
        <v>5</v>
      </c>
      <c r="G34" s="1">
        <f>'Count-&gt;Actual Activity'!F34</f>
        <v>5.6625314955204518</v>
      </c>
      <c r="H34" s="1">
        <f>'Count-&gt;Actual Activity'!G34</f>
        <v>0.15745067498955981</v>
      </c>
      <c r="I34" s="1">
        <v>10</v>
      </c>
      <c r="J34" s="1">
        <v>0.01</v>
      </c>
      <c r="K34">
        <f t="shared" si="0"/>
        <v>0.5662531495520452</v>
      </c>
      <c r="L34">
        <f t="shared" si="1"/>
        <v>1.5755246528571288E-2</v>
      </c>
      <c r="M34">
        <f>B34*Parameters!$B$6</f>
        <v>65.444000000000003</v>
      </c>
      <c r="N34">
        <f>SQRT((C34/B34)^2+(Parameters!$C$6/Parameters!$B$6)^2)*'Bottle Results'!M34</f>
        <v>2.8764772145305018</v>
      </c>
      <c r="O34">
        <f t="shared" si="2"/>
        <v>0.13475162038988264</v>
      </c>
    </row>
    <row r="35" spans="1:15" x14ac:dyDescent="0.25">
      <c r="A35" t="s">
        <v>114</v>
      </c>
      <c r="B35">
        <v>7.0000000000000001E-3</v>
      </c>
      <c r="C35">
        <v>1E-4</v>
      </c>
      <c r="D35" s="1">
        <v>8.9499999999999993</v>
      </c>
      <c r="E35" s="1">
        <v>100</v>
      </c>
      <c r="F35" s="1">
        <v>5</v>
      </c>
      <c r="G35" s="1">
        <f>'Count-&gt;Actual Activity'!F35</f>
        <v>1.0446769736629575</v>
      </c>
      <c r="H35" s="1">
        <f>'Count-&gt;Actual Activity'!G35</f>
        <v>0.15745067498955981</v>
      </c>
      <c r="I35" s="1">
        <v>10</v>
      </c>
      <c r="J35" s="1">
        <v>0.01</v>
      </c>
      <c r="K35">
        <f t="shared" si="0"/>
        <v>0.10446769736629576</v>
      </c>
      <c r="L35">
        <f t="shared" si="1"/>
        <v>1.574541406398933E-2</v>
      </c>
      <c r="M35">
        <f>B35*Parameters!$B$6</f>
        <v>6.4522253521126771</v>
      </c>
      <c r="N35">
        <f>SQRT((C35/B35)^2+(Parameters!$C$6/Parameters!$B$6)^2)*'Bottle Results'!M35</f>
        <v>0.29806118069785642</v>
      </c>
      <c r="O35">
        <f t="shared" si="2"/>
        <v>-0.61909560911553541</v>
      </c>
    </row>
    <row r="36" spans="1:15" x14ac:dyDescent="0.25">
      <c r="A36" t="s">
        <v>115</v>
      </c>
      <c r="B36">
        <v>7.0000000000000001E-3</v>
      </c>
      <c r="C36">
        <v>1E-4</v>
      </c>
      <c r="D36" s="1">
        <v>8.98</v>
      </c>
      <c r="E36" s="1">
        <v>100</v>
      </c>
      <c r="F36" s="1">
        <v>5</v>
      </c>
      <c r="G36" s="1">
        <f>'Count-&gt;Actual Activity'!F36</f>
        <v>0.7133772640280287</v>
      </c>
      <c r="H36" s="1">
        <f>'Count-&gt;Actual Activity'!G36</f>
        <v>0.15745067498955981</v>
      </c>
      <c r="I36" s="1">
        <v>10</v>
      </c>
      <c r="J36" s="1">
        <v>0.01</v>
      </c>
      <c r="K36">
        <f t="shared" si="0"/>
        <v>7.1337726402802865E-2</v>
      </c>
      <c r="L36">
        <f t="shared" si="1"/>
        <v>1.5745229106554411E-2</v>
      </c>
      <c r="M36">
        <f>B36*Parameters!$B$6</f>
        <v>6.4522253521126771</v>
      </c>
      <c r="N36">
        <f>SQRT((C36/B36)^2+(Parameters!$C$6/Parameters!$B$6)^2)*'Bottle Results'!M36</f>
        <v>0.29806118069785642</v>
      </c>
      <c r="O36">
        <f t="shared" si="2"/>
        <v>-0.10562980227348187</v>
      </c>
    </row>
    <row r="37" spans="1:15" x14ac:dyDescent="0.25">
      <c r="A37" t="s">
        <v>116</v>
      </c>
      <c r="B37">
        <v>7.0000000000000001E-3</v>
      </c>
      <c r="C37">
        <v>1E-4</v>
      </c>
      <c r="D37" s="1">
        <v>8.9700000000000006</v>
      </c>
      <c r="E37" s="1">
        <v>100</v>
      </c>
      <c r="F37" s="1">
        <v>5</v>
      </c>
      <c r="G37" s="1">
        <f>'Count-&gt;Actual Activity'!F37</f>
        <v>0.92926156494069856</v>
      </c>
      <c r="H37" s="1">
        <f>'Count-&gt;Actual Activity'!G37</f>
        <v>0.15745067498955981</v>
      </c>
      <c r="I37" s="1">
        <v>10</v>
      </c>
      <c r="J37" s="1">
        <v>0.01</v>
      </c>
      <c r="K37">
        <f t="shared" si="0"/>
        <v>9.292615649406985E-2</v>
      </c>
      <c r="L37">
        <f t="shared" si="1"/>
        <v>1.5745341718020625E-2</v>
      </c>
      <c r="M37">
        <f>B37*Parameters!$B$6</f>
        <v>6.4522253521126771</v>
      </c>
      <c r="N37">
        <f>SQRT((C37/B37)^2+(Parameters!$C$6/Parameters!$B$6)^2)*'Bottle Results'!M37</f>
        <v>0.29806118069785642</v>
      </c>
      <c r="O37">
        <f t="shared" si="2"/>
        <v>-0.440218706304836</v>
      </c>
    </row>
  </sheetData>
  <conditionalFormatting sqref="G2:G37">
    <cfRule type="cellIs" dxfId="0" priority="1" operator="lessThan">
      <formula>0.304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B2" sqref="B2:I13"/>
    </sheetView>
  </sheetViews>
  <sheetFormatPr defaultRowHeight="15" x14ac:dyDescent="0.25"/>
  <cols>
    <col min="1" max="1" width="7.5703125" bestFit="1" customWidth="1"/>
    <col min="2" max="2" width="12" bestFit="1" customWidth="1"/>
    <col min="3" max="3" width="12.140625" bestFit="1" customWidth="1"/>
    <col min="4" max="4" width="12" bestFit="1" customWidth="1"/>
    <col min="5" max="5" width="12.7109375" bestFit="1" customWidth="1"/>
    <col min="6" max="8" width="12" bestFit="1" customWidth="1"/>
    <col min="9" max="9" width="6.28515625" bestFit="1" customWidth="1"/>
  </cols>
  <sheetData>
    <row r="1" spans="1:10" x14ac:dyDescent="0.25">
      <c r="A1" t="s">
        <v>15</v>
      </c>
      <c r="B1" t="s">
        <v>26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140</v>
      </c>
      <c r="J1" t="s">
        <v>7</v>
      </c>
    </row>
    <row r="2" spans="1:10" x14ac:dyDescent="0.25">
      <c r="A2" t="s">
        <v>136</v>
      </c>
      <c r="B2">
        <f>AVERAGE('Bottle Results'!K2:K4)</f>
        <v>3.2014596235370747</v>
      </c>
      <c r="C2">
        <f>_xlfn.STDEV.S('Bottle Results'!K2:K4)</f>
        <v>3.4263875741648041E-2</v>
      </c>
      <c r="D2">
        <f>AVERAGE('Bottle Results'!M2:M4)</f>
        <v>327.22000000000003</v>
      </c>
      <c r="E2">
        <f>AVERAGE('Bottle Results'!O2:O4)</f>
        <v>2.1618598026687114E-2</v>
      </c>
      <c r="F2">
        <f>_xlfn.STDEV.S('Bottle Results'!O2:O4)</f>
        <v>1.0471204615136011E-2</v>
      </c>
      <c r="G2">
        <f>AVERAGE('Bottle Results'!D2:D4)</f>
        <v>3.0133333333333332</v>
      </c>
      <c r="H2">
        <f>_xlfn.STDEV.S('Bottle Results'!D2:D4)</f>
        <v>5.7735026918963907E-3</v>
      </c>
      <c r="I2">
        <f>COUNT('Bottle Results'!G2:G4)</f>
        <v>3</v>
      </c>
      <c r="J2" t="s">
        <v>149</v>
      </c>
    </row>
    <row r="3" spans="1:10" x14ac:dyDescent="0.25">
      <c r="A3" t="s">
        <v>137</v>
      </c>
      <c r="B3">
        <f>AVERAGE('Bottle Results'!K5:K7)</f>
        <v>0.66923081601634216</v>
      </c>
      <c r="C3">
        <f>_xlfn.STDEV.S('Bottle Results'!K5:K7)</f>
        <v>1.3828282073644324E-2</v>
      </c>
      <c r="D3">
        <f>AVERAGE('Bottle Results'!M5:M7)</f>
        <v>65.444000000000003</v>
      </c>
      <c r="E3">
        <f>AVERAGE('Bottle Results'!O5:O7)</f>
        <v>-2.2600721252279837E-2</v>
      </c>
      <c r="F3">
        <f>_xlfn.STDEV.S('Bottle Results'!O5:O7)</f>
        <v>2.1129946326086869E-2</v>
      </c>
      <c r="G3">
        <f>AVERAGE('Bottle Results'!D5:D7)</f>
        <v>2.9933333333333336</v>
      </c>
      <c r="H3">
        <f>_xlfn.STDEV.S('Bottle Results'!D5:D7)</f>
        <v>4.9328828623162339E-2</v>
      </c>
      <c r="I3">
        <f>COUNT('Bottle Results'!G5:G7)</f>
        <v>3</v>
      </c>
      <c r="J3" t="s">
        <v>149</v>
      </c>
    </row>
    <row r="4" spans="1:10" x14ac:dyDescent="0.25">
      <c r="A4" t="s">
        <v>138</v>
      </c>
      <c r="B4">
        <f>AVERAGE('Bottle Results'!K8:K10)</f>
        <v>8.1281434541249337E-2</v>
      </c>
      <c r="C4">
        <f>_xlfn.STDEV.S('Bottle Results'!K8:K10)</f>
        <v>4.9703669397525296E-3</v>
      </c>
      <c r="D4">
        <f>AVERAGE('Bottle Results'!M8:M10)</f>
        <v>6.4522253521126771</v>
      </c>
      <c r="E4">
        <f>AVERAGE('Bottle Results'!O8:O10)</f>
        <v>-0.25974264855202317</v>
      </c>
      <c r="F4">
        <f>_xlfn.STDEV.S('Bottle Results'!O8:O10)</f>
        <v>7.7033374820441883E-2</v>
      </c>
      <c r="G4">
        <f>AVERAGE('Bottle Results'!D8:D10)</f>
        <v>3.0033333333333334</v>
      </c>
      <c r="H4">
        <f>_xlfn.STDEV.S('Bottle Results'!D8:D10)</f>
        <v>1.154700538379227E-2</v>
      </c>
      <c r="I4">
        <f>COUNT('Bottle Results'!G8:G10)</f>
        <v>3</v>
      </c>
      <c r="J4" t="s">
        <v>150</v>
      </c>
    </row>
    <row r="5" spans="1:10" x14ac:dyDescent="0.25">
      <c r="A5" t="s">
        <v>139</v>
      </c>
      <c r="B5">
        <f>AVERAGE('Bottle Results'!K11:K13)</f>
        <v>2.9907785971172474</v>
      </c>
      <c r="C5">
        <f>_xlfn.STDEV.S('Bottle Results'!K11:K13)</f>
        <v>4.1917238567257278E-2</v>
      </c>
      <c r="D5">
        <f>AVERAGE('Bottle Results'!M11:M13)</f>
        <v>327.22000000000003</v>
      </c>
      <c r="E5">
        <f>AVERAGE('Bottle Results'!O11:O13)</f>
        <v>8.6003729259443981E-2</v>
      </c>
      <c r="F5">
        <f>_xlfn.STDEV.S('Bottle Results'!O11:O13)</f>
        <v>1.2810108968662411E-2</v>
      </c>
      <c r="G5">
        <f>AVERAGE('Bottle Results'!D11:D13)</f>
        <v>5.04</v>
      </c>
      <c r="H5">
        <f>_xlfn.STDEV.S('Bottle Results'!D11:D13)</f>
        <v>1.7320508075688915E-2</v>
      </c>
      <c r="I5">
        <f>COUNT('Bottle Results'!G11:G13)</f>
        <v>3</v>
      </c>
      <c r="J5" t="s">
        <v>151</v>
      </c>
    </row>
    <row r="6" spans="1:10" x14ac:dyDescent="0.25">
      <c r="A6" t="s">
        <v>141</v>
      </c>
      <c r="B6">
        <f>AVERAGE('Bottle Results'!K14:K16)</f>
        <v>0.63022836755157885</v>
      </c>
      <c r="C6">
        <f>_xlfn.STDEV.S('Bottle Results'!K14:K16)</f>
        <v>6.1823012002880469E-3</v>
      </c>
      <c r="D6">
        <f>AVERAGE('Bottle Results'!M14:M16)</f>
        <v>65.444000000000003</v>
      </c>
      <c r="E6">
        <f>AVERAGE('Bottle Results'!O14:O16)</f>
        <v>3.6995954477753869E-2</v>
      </c>
      <c r="F6">
        <f>_xlfn.STDEV.S('Bottle Results'!O14:O16)</f>
        <v>9.4467043583645015E-3</v>
      </c>
      <c r="G6">
        <f>AVERAGE('Bottle Results'!D14:D16)</f>
        <v>4.9833333333333334</v>
      </c>
      <c r="H6">
        <f>_xlfn.STDEV.S('Bottle Results'!D14:D16)</f>
        <v>3.2145502536643007E-2</v>
      </c>
      <c r="I6">
        <f>COUNT('Bottle Results'!G14:G16)</f>
        <v>3</v>
      </c>
      <c r="J6" t="s">
        <v>152</v>
      </c>
    </row>
    <row r="7" spans="1:10" x14ac:dyDescent="0.25">
      <c r="A7" t="s">
        <v>142</v>
      </c>
      <c r="B7">
        <f>AVERAGE('Bottle Results'!K17:K19)</f>
        <v>8.08598661262485E-2</v>
      </c>
      <c r="C7">
        <f>_xlfn.STDEV.S('Bottle Results'!K17:K19)</f>
        <v>6.0960459938288617E-3</v>
      </c>
      <c r="D7">
        <f>AVERAGE('Bottle Results'!M17:M19)</f>
        <v>6.4522253521126771</v>
      </c>
      <c r="E7">
        <f>AVERAGE('Bottle Results'!O17:O19)</f>
        <v>-0.25320895835995932</v>
      </c>
      <c r="F7">
        <f>_xlfn.STDEV.S('Bottle Results'!O17:O19)</f>
        <v>9.4479743982172001E-2</v>
      </c>
      <c r="G7">
        <f>AVERAGE('Bottle Results'!D17:D19)</f>
        <v>5</v>
      </c>
      <c r="H7">
        <f>_xlfn.STDEV.S('Bottle Results'!D17:D19)</f>
        <v>4.3588989435406622E-2</v>
      </c>
      <c r="I7">
        <f>COUNT('Bottle Results'!G17:G19)</f>
        <v>3</v>
      </c>
      <c r="J7" t="s">
        <v>150</v>
      </c>
    </row>
    <row r="8" spans="1:10" x14ac:dyDescent="0.25">
      <c r="A8" t="s">
        <v>143</v>
      </c>
      <c r="B8">
        <f>AVERAGE('Bottle Results'!K20:K22)</f>
        <v>2.7495825031192815</v>
      </c>
      <c r="C8">
        <f>_xlfn.STDEV.S('Bottle Results'!K20:K22)</f>
        <v>6.7076105821362975E-2</v>
      </c>
      <c r="D8">
        <f>AVERAGE('Bottle Results'!M20:M22)</f>
        <v>327.22000000000003</v>
      </c>
      <c r="E8">
        <f>AVERAGE('Bottle Results'!O20:O22)</f>
        <v>0.15971441136871786</v>
      </c>
      <c r="F8">
        <f>_xlfn.STDEV.S('Bottle Results'!O20:O22)</f>
        <v>2.0498779359869084E-2</v>
      </c>
      <c r="G8">
        <f>AVERAGE('Bottle Results'!D20:D22)</f>
        <v>6.9533333333333331</v>
      </c>
      <c r="H8">
        <f>_xlfn.STDEV.S('Bottle Results'!D20:D22)</f>
        <v>5.7735026918961348E-3</v>
      </c>
      <c r="I8">
        <f>COUNT('Bottle Results'!G20:G22)</f>
        <v>3</v>
      </c>
      <c r="J8" t="s">
        <v>153</v>
      </c>
    </row>
    <row r="9" spans="1:10" x14ac:dyDescent="0.25">
      <c r="A9" t="s">
        <v>144</v>
      </c>
      <c r="B9">
        <f>AVERAGE('Bottle Results'!K23:K25)</f>
        <v>0.58363473958592604</v>
      </c>
      <c r="C9">
        <f>_xlfn.STDEV.S('Bottle Results'!K23:K25)</f>
        <v>1.4872980252780162E-2</v>
      </c>
      <c r="D9">
        <f>AVERAGE('Bottle Results'!M23:M25)</f>
        <v>65.444000000000003</v>
      </c>
      <c r="E9">
        <f>AVERAGE('Bottle Results'!O23:O25)</f>
        <v>0.10819213436537189</v>
      </c>
      <c r="F9">
        <f>_xlfn.STDEV.S('Bottle Results'!O23:O25)</f>
        <v>2.2726270174164391E-2</v>
      </c>
      <c r="G9">
        <f>AVERAGE('Bottle Results'!D23:D25)</f>
        <v>6.96</v>
      </c>
      <c r="H9">
        <f>_xlfn.STDEV.S('Bottle Results'!D23:D25)</f>
        <v>9.9999999999997868E-3</v>
      </c>
      <c r="I9">
        <f>COUNT('Bottle Results'!G23:G25)</f>
        <v>3</v>
      </c>
      <c r="J9" t="s">
        <v>151</v>
      </c>
    </row>
    <row r="10" spans="1:10" x14ac:dyDescent="0.25">
      <c r="A10" t="s">
        <v>145</v>
      </c>
      <c r="B10">
        <f>AVERAGE('Bottle Results'!K26:K28)</f>
        <v>8.8456941688886084E-2</v>
      </c>
      <c r="C10">
        <f>_xlfn.STDEV.S('Bottle Results'!K26:K28)</f>
        <v>1.6203201567106279E-2</v>
      </c>
      <c r="D10">
        <f>AVERAGE('Bottle Results'!M26:M28)</f>
        <v>6.4522253521126771</v>
      </c>
      <c r="E10">
        <f>AVERAGE('Bottle Results'!O26:O28)</f>
        <v>-0.3709524522407186</v>
      </c>
      <c r="F10">
        <f>_xlfn.STDEV.S('Bottle Results'!O26:O28)</f>
        <v>0.25112578502548477</v>
      </c>
      <c r="G10">
        <f>AVERAGE('Bottle Results'!D26:D28)</f>
        <v>6.9833333333333334</v>
      </c>
      <c r="H10">
        <f>_xlfn.STDEV.S('Bottle Results'!D26:D28)</f>
        <v>1.5275252316519529E-2</v>
      </c>
      <c r="I10">
        <f>COUNT('Bottle Results'!G26:G28)</f>
        <v>3</v>
      </c>
      <c r="J10" t="s">
        <v>150</v>
      </c>
    </row>
    <row r="11" spans="1:10" x14ac:dyDescent="0.25">
      <c r="A11" t="s">
        <v>146</v>
      </c>
      <c r="B11">
        <f>AVERAGE('Bottle Results'!K29:K31)</f>
        <v>2.6027351892170292</v>
      </c>
      <c r="C11">
        <f>_xlfn.STDEV.S('Bottle Results'!K29:K31)</f>
        <v>0.14471637276230156</v>
      </c>
      <c r="D11">
        <f>AVERAGE('Bottle Results'!M29:M31)</f>
        <v>327.22000000000003</v>
      </c>
      <c r="E11">
        <f>AVERAGE('Bottle Results'!O29:O31)</f>
        <v>0.20459165417241329</v>
      </c>
      <c r="F11">
        <f>_xlfn.STDEV.S('Bottle Results'!O29:O31)</f>
        <v>4.4226016980105733E-2</v>
      </c>
      <c r="G11">
        <f>AVERAGE('Bottle Results'!D29:D31)</f>
        <v>8.9666666666666668</v>
      </c>
      <c r="H11">
        <f>_xlfn.STDEV.S('Bottle Results'!D29:D31)</f>
        <v>5.7735026918961348E-3</v>
      </c>
      <c r="I11">
        <f>COUNT('Bottle Results'!G29:G31)</f>
        <v>3</v>
      </c>
      <c r="J11" t="s">
        <v>154</v>
      </c>
    </row>
    <row r="12" spans="1:10" x14ac:dyDescent="0.25">
      <c r="A12" t="s">
        <v>147</v>
      </c>
      <c r="B12">
        <f>AVERAGE('Bottle Results'!K32:K34)</f>
        <v>0.5478102684034768</v>
      </c>
      <c r="C12">
        <f>_xlfn.STDEV.S('Bottle Results'!K32:K34)</f>
        <v>1.5979142104889897E-2</v>
      </c>
      <c r="D12">
        <f>AVERAGE('Bottle Results'!M32:M34)</f>
        <v>65.444000000000003</v>
      </c>
      <c r="E12">
        <f>AVERAGE('Bottle Results'!O32:O34)</f>
        <v>0.16293278466555114</v>
      </c>
      <c r="F12">
        <f>_xlfn.STDEV.S('Bottle Results'!O32:O34)</f>
        <v>2.4416511987179729E-2</v>
      </c>
      <c r="G12">
        <f>AVERAGE('Bottle Results'!D32:D34)</f>
        <v>8.9700000000000006</v>
      </c>
      <c r="H12">
        <f>_xlfn.STDEV.S('Bottle Results'!D32:D34)</f>
        <v>9.9999999999997868E-3</v>
      </c>
      <c r="I12">
        <f>COUNT('Bottle Results'!G32:G34)</f>
        <v>3</v>
      </c>
      <c r="J12" t="s">
        <v>153</v>
      </c>
    </row>
    <row r="13" spans="1:10" x14ac:dyDescent="0.25">
      <c r="A13" t="s">
        <v>148</v>
      </c>
      <c r="B13">
        <f>AVERAGE('Bottle Results'!K35:K37)</f>
        <v>8.9577193421056148E-2</v>
      </c>
      <c r="C13">
        <f>_xlfn.STDEV.S('Bottle Results'!K35:K37)</f>
        <v>1.6816967897298828E-2</v>
      </c>
      <c r="D13">
        <f>AVERAGE('Bottle Results'!M35:M37)</f>
        <v>6.4522253521126771</v>
      </c>
      <c r="E13">
        <f>AVERAGE('Bottle Results'!O35:O37)</f>
        <v>-0.38831470589795108</v>
      </c>
      <c r="F13">
        <f>_xlfn.STDEV.S('Bottle Results'!O35:O37)</f>
        <v>0.26063826012822572</v>
      </c>
      <c r="G13">
        <f>AVERAGE('Bottle Results'!D35:D37)</f>
        <v>8.9666666666666668</v>
      </c>
      <c r="H13">
        <f>_xlfn.STDEV.S('Bottle Results'!D35:D37)</f>
        <v>1.527525231652011E-2</v>
      </c>
      <c r="I13">
        <f>COUNT('Bottle Results'!G35:G37)</f>
        <v>3</v>
      </c>
      <c r="J13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Calibration Data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2017-07-07T21:00:16Z</dcterms:modified>
</cp:coreProperties>
</file>