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Maciej\Documents\Modelowanie rynków finansowych\"/>
    </mc:Choice>
  </mc:AlternateContent>
  <bookViews>
    <workbookView xWindow="0" yWindow="0" windowWidth="20385" windowHeight="1860" firstSheet="2" activeTab="13"/>
  </bookViews>
  <sheets>
    <sheet name="Info" sheetId="11" r:id="rId1"/>
    <sheet name="Zadania" sheetId="12" r:id="rId2"/>
    <sheet name="zad1" sheetId="13" r:id="rId3"/>
    <sheet name="zad2" sheetId="14" r:id="rId4"/>
    <sheet name="zad3" sheetId="15" r:id="rId5"/>
    <sheet name="zad4" sheetId="16" r:id="rId6"/>
    <sheet name="zad5" sheetId="17" r:id="rId7"/>
    <sheet name="zad6" sheetId="18" r:id="rId8"/>
    <sheet name="zad7" sheetId="19" r:id="rId9"/>
    <sheet name="zad8" sheetId="20" r:id="rId10"/>
    <sheet name="zad9" sheetId="21" r:id="rId11"/>
    <sheet name="zad10" sheetId="22" r:id="rId12"/>
    <sheet name="zad12" sheetId="24" r:id="rId13"/>
    <sheet name="zad13" sheetId="23" r:id="rId14"/>
  </sheets>
  <definedNames>
    <definedName name="d">#REF!</definedName>
    <definedName name="delta13">#REF!</definedName>
    <definedName name="delta26">#REF!</definedName>
    <definedName name="prow">#REF!</definedName>
    <definedName name="solver_adj" localSheetId="12" hidden="1">zad12!$C$1</definedName>
    <definedName name="solver_adj" localSheetId="3" hidden="1">zad2!$E$3</definedName>
    <definedName name="solver_cvg" localSheetId="12" hidden="1">0.0001</definedName>
    <definedName name="solver_cvg" localSheetId="3" hidden="1">0.0001</definedName>
    <definedName name="solver_drv" localSheetId="12" hidden="1">1</definedName>
    <definedName name="solver_drv" localSheetId="3" hidden="1">1</definedName>
    <definedName name="solver_eng" localSheetId="12" hidden="1">1</definedName>
    <definedName name="solver_eng" localSheetId="3" hidden="1">1</definedName>
    <definedName name="solver_est" localSheetId="12" hidden="1">1</definedName>
    <definedName name="solver_est" localSheetId="3" hidden="1">1</definedName>
    <definedName name="solver_itr" localSheetId="12" hidden="1">2147483647</definedName>
    <definedName name="solver_itr" localSheetId="3" hidden="1">2147483647</definedName>
    <definedName name="solver_mip" localSheetId="12" hidden="1">2147483647</definedName>
    <definedName name="solver_mip" localSheetId="3" hidden="1">2147483647</definedName>
    <definedName name="solver_mni" localSheetId="12" hidden="1">30</definedName>
    <definedName name="solver_mni" localSheetId="3" hidden="1">30</definedName>
    <definedName name="solver_mrt" localSheetId="12" hidden="1">0.075</definedName>
    <definedName name="solver_mrt" localSheetId="3" hidden="1">0.075</definedName>
    <definedName name="solver_msl" localSheetId="12" hidden="1">2</definedName>
    <definedName name="solver_msl" localSheetId="3" hidden="1">2</definedName>
    <definedName name="solver_neg" localSheetId="12" hidden="1">1</definedName>
    <definedName name="solver_neg" localSheetId="3" hidden="1">1</definedName>
    <definedName name="solver_nod" localSheetId="12" hidden="1">2147483647</definedName>
    <definedName name="solver_nod" localSheetId="3" hidden="1">2147483647</definedName>
    <definedName name="solver_num" localSheetId="12" hidden="1">0</definedName>
    <definedName name="solver_num" localSheetId="3" hidden="1">0</definedName>
    <definedName name="solver_nwt" localSheetId="12" hidden="1">1</definedName>
    <definedName name="solver_nwt" localSheetId="3" hidden="1">1</definedName>
    <definedName name="solver_opt" localSheetId="12" hidden="1">zad12!$C$12</definedName>
    <definedName name="solver_opt" localSheetId="3" hidden="1">zad2!$B$3</definedName>
    <definedName name="solver_pre" localSheetId="12" hidden="1">0.000001</definedName>
    <definedName name="solver_pre" localSheetId="3" hidden="1">0.000001</definedName>
    <definedName name="solver_rbv" localSheetId="12" hidden="1">1</definedName>
    <definedName name="solver_rbv" localSheetId="3" hidden="1">1</definedName>
    <definedName name="solver_rlx" localSheetId="12" hidden="1">2</definedName>
    <definedName name="solver_rlx" localSheetId="3" hidden="1">2</definedName>
    <definedName name="solver_rsd" localSheetId="12" hidden="1">0</definedName>
    <definedName name="solver_rsd" localSheetId="3" hidden="1">0</definedName>
    <definedName name="solver_scl" localSheetId="12" hidden="1">1</definedName>
    <definedName name="solver_scl" localSheetId="3" hidden="1">1</definedName>
    <definedName name="solver_sho" localSheetId="12" hidden="1">2</definedName>
    <definedName name="solver_sho" localSheetId="3" hidden="1">2</definedName>
    <definedName name="solver_ssz" localSheetId="12" hidden="1">100</definedName>
    <definedName name="solver_ssz" localSheetId="3" hidden="1">100</definedName>
    <definedName name="solver_tim" localSheetId="12" hidden="1">2147483647</definedName>
    <definedName name="solver_tim" localSheetId="3" hidden="1">2147483647</definedName>
    <definedName name="solver_tol" localSheetId="12" hidden="1">0.01</definedName>
    <definedName name="solver_tol" localSheetId="3" hidden="1">0.01</definedName>
    <definedName name="solver_typ" localSheetId="12" hidden="1">3</definedName>
    <definedName name="solver_typ" localSheetId="3" hidden="1">3</definedName>
    <definedName name="solver_val" localSheetId="12" hidden="1">0</definedName>
    <definedName name="solver_val" localSheetId="3" hidden="1">2700</definedName>
    <definedName name="solver_ver" localSheetId="12" hidden="1">3</definedName>
    <definedName name="solver_ver" localSheetId="3" hidden="1">3</definedName>
    <definedName name="stopa13">#REF!</definedName>
    <definedName name="stopa26">#REF!</definedName>
    <definedName name="stopaforward13">#REF!</definedName>
    <definedName name="t">#REF!</definedName>
    <definedName name="x">#REF!</definedName>
  </definedNames>
  <calcPr calcId="171027"/>
</workbook>
</file>

<file path=xl/calcChain.xml><?xml version="1.0" encoding="utf-8"?>
<calcChain xmlns="http://schemas.openxmlformats.org/spreadsheetml/2006/main">
  <c r="B4" i="23" l="1"/>
  <c r="L5" i="23"/>
  <c r="M5" i="23" s="1"/>
  <c r="L6" i="23"/>
  <c r="M6" i="23" s="1"/>
  <c r="L7" i="23"/>
  <c r="M7" i="23" s="1"/>
  <c r="L8" i="23"/>
  <c r="M8" i="23" s="1"/>
  <c r="L9" i="23"/>
  <c r="M9" i="23" s="1"/>
  <c r="L10" i="23"/>
  <c r="M10" i="23" s="1"/>
  <c r="L11" i="23"/>
  <c r="M11" i="23" s="1"/>
  <c r="L12" i="23"/>
  <c r="M12" i="23" s="1"/>
  <c r="L13" i="23"/>
  <c r="M13" i="23" s="1"/>
  <c r="L14" i="23"/>
  <c r="M14" i="23" s="1"/>
  <c r="L15" i="23"/>
  <c r="M15" i="23" s="1"/>
  <c r="L4" i="23"/>
  <c r="M4" i="23" s="1"/>
  <c r="D5" i="23"/>
  <c r="D6" i="23"/>
  <c r="D7" i="23"/>
  <c r="D8" i="23"/>
  <c r="D9" i="23"/>
  <c r="D10" i="23"/>
  <c r="D11" i="23"/>
  <c r="D12" i="23"/>
  <c r="D13" i="23"/>
  <c r="D14" i="23"/>
  <c r="D15" i="23"/>
  <c r="D4" i="23"/>
  <c r="C21" i="23"/>
  <c r="B17" i="23"/>
  <c r="B16" i="23"/>
  <c r="B5" i="23"/>
  <c r="B6" i="23"/>
  <c r="B7" i="23"/>
  <c r="B8" i="23"/>
  <c r="B9" i="23"/>
  <c r="B10" i="23"/>
  <c r="B11" i="23"/>
  <c r="B12" i="23"/>
  <c r="B13" i="23"/>
  <c r="B14" i="23"/>
  <c r="B15" i="23"/>
  <c r="B3" i="23"/>
  <c r="C4" i="23"/>
  <c r="C5" i="23"/>
  <c r="C6" i="23"/>
  <c r="C7" i="23"/>
  <c r="C8" i="23"/>
  <c r="C9" i="23"/>
  <c r="C10" i="23"/>
  <c r="C11" i="23"/>
  <c r="C12" i="23"/>
  <c r="C13" i="23"/>
  <c r="C14" i="23"/>
  <c r="C15" i="23"/>
  <c r="C3" i="23"/>
  <c r="C14" i="24"/>
  <c r="B12" i="24"/>
  <c r="C12" i="24" s="1"/>
  <c r="A12" i="24"/>
  <c r="M16" i="23" l="1"/>
  <c r="A1" i="22"/>
  <c r="C5" i="21"/>
  <c r="D13" i="20"/>
  <c r="C12" i="20"/>
  <c r="D4" i="20"/>
  <c r="B2" i="19"/>
  <c r="C2" i="17" l="1"/>
  <c r="A2" i="17"/>
  <c r="C3" i="15"/>
  <c r="E4" i="14"/>
  <c r="E2" i="14"/>
  <c r="B3" i="14" s="1"/>
  <c r="G6" i="13"/>
  <c r="H6" i="13"/>
  <c r="B3" i="13"/>
  <c r="B4" i="13"/>
  <c r="B5" i="13"/>
  <c r="B6" i="13"/>
  <c r="B7" i="13"/>
  <c r="B8" i="13"/>
  <c r="B2" i="13"/>
  <c r="G2" i="13"/>
  <c r="G3" i="13" s="1"/>
  <c r="G4" i="13" s="1"/>
  <c r="G5" i="13" s="1"/>
  <c r="B2" i="14"/>
  <c r="F6" i="13"/>
  <c r="F7" i="13"/>
  <c r="D6" i="13"/>
  <c r="F4" i="13"/>
  <c r="F5" i="13"/>
  <c r="F8" i="13"/>
  <c r="F3" i="13"/>
  <c r="D4" i="13"/>
  <c r="D5" i="13"/>
  <c r="D7" i="13"/>
  <c r="D8" i="13"/>
  <c r="D3" i="13"/>
  <c r="E3" i="13"/>
  <c r="E4" i="13"/>
  <c r="E5" i="13"/>
  <c r="E6" i="13"/>
  <c r="E7" i="13"/>
  <c r="E8" i="13"/>
  <c r="E2" i="13"/>
  <c r="G7" i="13" l="1"/>
  <c r="G8" i="13" s="1"/>
  <c r="F2" i="13"/>
</calcChain>
</file>

<file path=xl/sharedStrings.xml><?xml version="1.0" encoding="utf-8"?>
<sst xmlns="http://schemas.openxmlformats.org/spreadsheetml/2006/main" count="96" uniqueCount="85">
  <si>
    <t>Nr</t>
  </si>
  <si>
    <t>ZADANIE</t>
  </si>
  <si>
    <t>Inwestor zajął 3 krótkie pozycje na kontrakcie na mWIG40 po kursie 2620 (wartość kontraktu to 10-krotność kursu). Wstępny depozyt zabezpieczający dla 1 kontraktu wynosi 1100 zł, a podtrzymujący 900. Przy jakim kursie kontraktu nastąpi margin call, jeśli założymy że na rachunku inwestora w chwili zajmowania pozycji nie było więcej gotówki niż wymagana do zajęcia pozycji?</t>
  </si>
  <si>
    <t>W piątek, 4 października, cena złota wynosiła $378.85 za uncję. Cena kwietniowych kontaktów futures na złoto wynosi $387.20 za uncję (każdy kontrakt opiewa na 100 uncji; wygasa w 3 dzień roboczy przed ostatnim dniem roboczym miesiąca wygasnięcia; przyjmij, że luty miał 28 dni). Załóżmy, że możemy pożyczać lub lokować pieniądze na 5.28%. Ponadto zakładamy brak dodatkowych kosztów. Jaka powinna być cena tych kontraktów i jaką daje to okazję do arbitrażu? Użyj procentu ciagłego.</t>
  </si>
  <si>
    <t>Załóżmy, że kurs EURPLN wynosi 4.30 (za 1 EUR można kupić 4.30 PLN). Niemieckie banki płacą odsetki  w wysokości 1.2% rocznie za depozyty w EUR, zaś polskie banki płacą rocznie 3.5%  za depozyty złotówkowe. Zakładając prawdziwość teorii parytetu wymiany (parytetu stopy procentowej) jaka będzie stopa wymiany tych walut za rok? Użyj procentu prostego.</t>
  </si>
  <si>
    <t>Załóżmy, że odchylenie standardowe kwartalnych zmian ceny pewnego towaru wynosi 0.57, zaś odchylenie standardowe kwartalnych zmian kontraktów futures na ten towar wynosi 0.85. Korelacja między nimi wynosi natomiast 0.3876. Jaki jest optymalny współczynnik zabezpieczenia dla 3-miesięcznego kontraktu?</t>
  </si>
  <si>
    <t>Do wygaśnięcia wymiany walutowej pozostało 15 miesięcy. Kontrakt ten opiewa na wymia-nę oprocentowania w wysokości 14% od 20mln funtów na oprocentowanie 10% od sumy 30mln dolarów. Płatności następują raz w roku zaś na koniec wymieniane są również kwoty nominalne. Struktury czasowe stóp procentowych są płaskie w USA i GB, a jeśli kontrakt byłby negocjowany dziś stopy procentowe ustalono by na 8% dla dolarów i 11% dla funtów. Stopy są kapitalizowane rocznie. Aktualny kurs wymiany wynosi 1.65. Jaka jest wartość tego kontraktu dla strony dostarczającej płatności w funtach, a jaka dla strony dolarowej?</t>
  </si>
  <si>
    <t>Spółki A i B zamierzają zaciągnąć 5-letnie kredyty na 30 milionów złotych każdy. Spółce A zależy na zmiennym oprocentowaniu kredytu powiązanym z 3-miesięczną stopą WIBOR. Spółka B preferuje stałą stopę oprocentowania kredytu. Skonstruuj wymianę, w której dealer zarabia 0.2%, a pozostały zysk spółki dzielą między siebie w stosunku 2:1 (A:B). Zaoferowane spółkom kredyty podano w tabelce poniżej:
                Oprocentowanie stałe Oprocentowanie zmienne
Spółka A  13.8%                            3-mies. WIBOR + 0.5%
Spółka B  15%                               3-mies. WIBOR + 1.2%</t>
  </si>
  <si>
    <t>Do wygaśnięcia wymiany procentowej o nominale 100 milionów dolarów pozostaje 10 miesięcy. Warunki kontraktu zastały ustalone tak, że sześciomiesięczna stopa LIBOR wymieniana jest na stałe oprocentowanie 12% w skali rocznej (kapitalizowane są półrocznie). Średnia stopa procentowa wymieniana na stopę LIBOR w kontraktach wymiany dla wszystkich dostępnych na rynku terminów jest równa 10% w skali rocznej (w warunkach kapitalizacji ciągłej). Dwa miesiące wcześniej sześciomiesięczna stopa LIBOR wynosiła 9.6% w skali rocznej. Jaka jest wartość tego kontraktu dla obu stron?</t>
  </si>
  <si>
    <t>Firma chce zabeezpieczyć obecny poziom stóp procentowych (3m LIBOR (USD) = 5% p.a.) na wzięcie 3-miesięcznej pożyczki 10 million USD za 9 miesięcy. Zajmuje długą pozycję w kontrakcie FRA 9v12 o warości nominalnej 10 million USD ze stopą FRA = 5%
a) Jakie będą przepływy pieniężne jeśli za 9 miesięcy 3m LIBOR = 4.75% ? Użyj konwencji 30/360
b) Jaka jest obecna wartość tego kontraktu? Przyjmij 9m LIBOR = 7%, 12m LIBOR = 7.6%
c) Jaka stawka FRA da dzisiejszą wartość kontraktu = 0?
d) Policz stopę forward 9_r_12</t>
  </si>
  <si>
    <t>Inwestor pierwszego dnia sprzedaje 10 kontraktów futures za $500 każdy. Depozyt wstępny wynosi 40%, a depozyt podtrzymujący 30%. Jakie będą przepływy pieniężne na rachunku inwestora, jeśli ceny kontraktów w kolejnych dniach będą następujące:  500 (1 dnia), 480, 490, 530, 580, 520, 490?</t>
  </si>
  <si>
    <t>2-miesięczne (kapitalizacja ciągła) stopy procentowe w Szwajcarii i Stanach Zjednoczonych wynoszą odpowiednio 3% i 8%. Kurs wymiany USD/SFR (ile USD za 1 SFR) wynosi 0.65. 2-miesięczny kurs forward wynosi 0.66. Czy możliwy jest arbitraż. Jeśli tak, to podaj strategię arbitrażową dającą zysk bez ryzyka.</t>
  </si>
  <si>
    <t>Załóżmy, że cena akcji nie wypłacających dywidendy wynosi $40, a wolna od ryzyka stopa procentowa (kapiatlizacja ciągła) wynosi 10% p.a. Jaka powinna być cena rocznego kontraktu forward na tą akcję, aby nie było okazji do arbitrażu? Jaka jest wartość kontraktu?              Po 6 miesiącach cena akcji wynosi $45, a stopa procentowa 10%. Jaka teraz powinna być cena tego kontraktu, a jaka jest jego wartość?</t>
  </si>
  <si>
    <t>W tabeli podano roczne stopy oprocentowania 10-letniego kredytu w wysokości 5 milionów dolarów zaoferowanego spółkom X i Y:
     oprocentowanie stałe  oprocentowanie zmienne
X   7.0%                              LIBOR + 0.5%
Y   8.8%                              LIBOR + 1.5%
Spółka X chce zaciągnąć kredyt według stopy zmiennej zaś Y według stopy stałej. Skonstruuj wymianę, w którym bank pośredniczący zarabia 0.2% w skali rocznej zaś pozostałym zy-skiem spółki dzielą się po połowie.</t>
  </si>
  <si>
    <t>(MAP1210, Matematyka Stosowana, WMat)</t>
  </si>
  <si>
    <t>Modelowanie Rynków Finansowych 2016/2017</t>
  </si>
  <si>
    <t>Lista 03</t>
  </si>
  <si>
    <t>© 2017 by Rafał Weron</t>
  </si>
  <si>
    <t>depozyt wstepny</t>
  </si>
  <si>
    <t>ilosc</t>
  </si>
  <si>
    <t>cena</t>
  </si>
  <si>
    <t>depozyt podtrzymujacy</t>
  </si>
  <si>
    <t>przeplywy</t>
  </si>
  <si>
    <t>depozyt</t>
  </si>
  <si>
    <t>margin call</t>
  </si>
  <si>
    <t>wstepny</t>
  </si>
  <si>
    <t>bierzacy</t>
  </si>
  <si>
    <t>kurs bierzacy</t>
  </si>
  <si>
    <t>dezpozyt</t>
  </si>
  <si>
    <t>kurs forward</t>
  </si>
  <si>
    <t>stopa SFR</t>
  </si>
  <si>
    <t>stopa USD</t>
  </si>
  <si>
    <t>alt kurs forward</t>
  </si>
  <si>
    <t>wartsc wstepny</t>
  </si>
  <si>
    <t>wartosc bierzacy</t>
  </si>
  <si>
    <t>sprawiedliwa</t>
  </si>
  <si>
    <t>&gt;</t>
  </si>
  <si>
    <t>F0</t>
  </si>
  <si>
    <t>zajmujemy długą pozycję. Sprzedajemy złoto o lokujemy na procent r</t>
  </si>
  <si>
    <t>zysk to 390,1401-387.20</t>
  </si>
  <si>
    <t>dla ciągłego procenta</t>
  </si>
  <si>
    <t>h*</t>
  </si>
  <si>
    <t>A</t>
  </si>
  <si>
    <t>B</t>
  </si>
  <si>
    <t>Opr. Stałe</t>
  </si>
  <si>
    <t>A bierze kredyt ze stałym oprocentowaniem 13,8%</t>
  </si>
  <si>
    <t>B bierze kredyt ze zmiennym oprocentowaniem WIBOR + 1,2%</t>
  </si>
  <si>
    <t>Opr. Zmienne -WIBOR</t>
  </si>
  <si>
    <t>do dealera</t>
  </si>
  <si>
    <t>od dealera</t>
  </si>
  <si>
    <t>zysk dealera</t>
  </si>
  <si>
    <t>X</t>
  </si>
  <si>
    <t>Y</t>
  </si>
  <si>
    <t>???</t>
  </si>
  <si>
    <t xml:space="preserve">Znaleźć stałą stopę swapową (swap rate) stanowiącą podstawę stałej raty w kontrakcie wymiany procentowej (IRS) płacącym raty co 4 tygodnie z dołu (bazową stopą procentową jest rentowność bonu skarbowego o 4 tyg. do wykupu). Przyjąć wielomianową interpolację krzywej rentowności: y = 2.38E-07x3 - 2.49E-05x2 + 8.31E-04x + 3.30E-02 oraz konwencję act/360. 
UWAGA: Płatności mają miejsce w 8,12,16,...,52 tygodniu.            
a) korzystając z wzoru z wykładu, tzn. rozpatrując dwie obligacje - o stałym i o zmiennym kuponie;
b) postępując podobnie jak w wycenie kontraktu FRA - znajdując wartość bieżącą przepływów finansowych;         
    Wskazówka: wartość bieżąca przepływów pieniężnych będzie różnicą między stopami forward a stopą swapową          
c) narysuj stopy spotowe i stopy forward z punktu b) </t>
  </si>
  <si>
    <t>a)</t>
  </si>
  <si>
    <t>rFRA</t>
  </si>
  <si>
    <t>r=3Mlibor</t>
  </si>
  <si>
    <t>R=(|r-rFRA|*N*d)/(D+r*d)</t>
  </si>
  <si>
    <t>Odp</t>
  </si>
  <si>
    <t>b)</t>
  </si>
  <si>
    <t>t</t>
  </si>
  <si>
    <t>9M</t>
  </si>
  <si>
    <t>12M</t>
  </si>
  <si>
    <t>10mln (1+rFRA *1/4)</t>
  </si>
  <si>
    <t>dyskontujemy Libor 9M</t>
  </si>
  <si>
    <t>dyskonutjemy libor 12M</t>
  </si>
  <si>
    <t>dluga?</t>
  </si>
  <si>
    <t>krotka?</t>
  </si>
  <si>
    <t>wartosc</t>
  </si>
  <si>
    <t>c)</t>
  </si>
  <si>
    <t>9f12</t>
  </si>
  <si>
    <t>stopa forward jest równa stopie rFRA przy wartości kontraktu 0 w chwili t=0</t>
  </si>
  <si>
    <t>x</t>
  </si>
  <si>
    <t>0rx</t>
  </si>
  <si>
    <t>Dx</t>
  </si>
  <si>
    <t>sumujemy czynniki od 8 tygodnia</t>
  </si>
  <si>
    <t>stała noga</t>
  </si>
  <si>
    <t>zmienna noga</t>
  </si>
  <si>
    <t>N*D4W-N*D52W</t>
  </si>
  <si>
    <t>c</t>
  </si>
  <si>
    <t>28/360*c*N*suma_dyskontujących_od_8W_do_52W</t>
  </si>
  <si>
    <t>stopy forward</t>
  </si>
  <si>
    <t>zdyskontowane przeplywy</t>
  </si>
  <si>
    <t>suma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</si>
</sst>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z_ł_-;\-* #,##0.00\ _z_ł_-;_-* &quot;-&quot;??\ _z_ł_-;_-@_-"/>
    <numFmt numFmtId="165" formatCode="0.000%"/>
    <numFmt numFmtId="167" formatCode="_-* #,##0.0000\ _z_ł_-;\-* #,##0.0000\ _z_ł_-;_-* &quot;-&quot;??\ _z_ł_-;_-@_-"/>
    <numFmt numFmtId="168" formatCode="_-* #,##0.0000\ _z_ł_-;\-* #,##0.0000\ _z_ł_-;_-* &quot;-&quot;????\ _z_ł_-;_-@_-"/>
  </numFmts>
  <fonts count="10" x14ac:knownFonts="1">
    <font>
      <sz val="10"/>
      <name val="Arial CE"/>
      <charset val="238"/>
    </font>
    <font>
      <b/>
      <sz val="16"/>
      <color theme="1"/>
      <name val="Calibri"/>
      <family val="2"/>
      <charset val="238"/>
      <scheme val="minor"/>
    </font>
    <font>
      <sz val="10"/>
      <name val="Calibri"/>
      <family val="2"/>
      <charset val="238"/>
      <scheme val="minor"/>
    </font>
    <font>
      <b/>
      <sz val="11"/>
      <color theme="1"/>
      <name val="Calibri"/>
      <family val="2"/>
      <charset val="238"/>
      <scheme val="minor"/>
    </font>
    <font>
      <sz val="8"/>
      <color theme="1"/>
      <name val="Calibri"/>
      <family val="2"/>
      <charset val="238"/>
      <scheme val="minor"/>
    </font>
    <font>
      <sz val="12"/>
      <name val="Calibri"/>
      <family val="2"/>
      <charset val="238"/>
      <scheme val="minor"/>
    </font>
    <font>
      <sz val="11"/>
      <color theme="1"/>
      <name val="Calibri"/>
      <family val="2"/>
      <scheme val="minor"/>
    </font>
    <font>
      <sz val="12"/>
      <color rgb="FF000000"/>
      <name val="Calibri"/>
      <family val="2"/>
      <charset val="238"/>
      <scheme val="minor"/>
    </font>
    <font>
      <sz val="10"/>
      <name val="Arial CE"/>
      <charset val="238"/>
    </font>
    <font>
      <b/>
      <sz val="10"/>
      <name val="Arial CE"/>
      <charset val="238"/>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
    <border>
      <left/>
      <right/>
      <top/>
      <bottom/>
      <diagonal/>
    </border>
  </borders>
  <cellStyleXfs count="5">
    <xf numFmtId="0" fontId="0" fillId="0" borderId="0"/>
    <xf numFmtId="0" fontId="6" fillId="0" borderId="0"/>
    <xf numFmtId="43" fontId="6"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cellStyleXfs>
  <cellXfs count="24">
    <xf numFmtId="0" fontId="0" fillId="0" borderId="0" xfId="0"/>
    <xf numFmtId="0" fontId="2" fillId="2" borderId="0" xfId="0" applyFont="1" applyFill="1"/>
    <xf numFmtId="0" fontId="5" fillId="0" borderId="0" xfId="0" applyFont="1"/>
    <xf numFmtId="0" fontId="5" fillId="0" borderId="0" xfId="0" applyFont="1" applyFill="1" applyAlignment="1">
      <alignment vertical="center" wrapText="1"/>
    </xf>
    <xf numFmtId="0" fontId="5" fillId="0" borderId="0" xfId="0" applyFont="1" applyFill="1" applyAlignment="1">
      <alignment horizontal="center" vertical="top"/>
    </xf>
    <xf numFmtId="0" fontId="5" fillId="3" borderId="0" xfId="0" applyFont="1" applyFill="1" applyAlignment="1">
      <alignment horizontal="center" vertical="center"/>
    </xf>
    <xf numFmtId="0" fontId="5" fillId="3" borderId="0" xfId="0" applyFont="1" applyFill="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5" fillId="0" borderId="0" xfId="0" applyFont="1" applyFill="1" applyAlignment="1">
      <alignment wrapText="1"/>
    </xf>
    <xf numFmtId="0" fontId="7" fillId="0" borderId="0" xfId="0" applyFont="1" applyAlignment="1">
      <alignment horizontal="justify"/>
    </xf>
    <xf numFmtId="0" fontId="0" fillId="0" borderId="0" xfId="0" applyAlignment="1">
      <alignment horizontal="center" wrapText="1"/>
    </xf>
    <xf numFmtId="14" fontId="0" fillId="0" borderId="0" xfId="0" applyNumberFormat="1"/>
    <xf numFmtId="0" fontId="5" fillId="0" borderId="0" xfId="0" applyFont="1" applyFill="1" applyAlignment="1">
      <alignment horizontal="center" vertical="top" wrapText="1"/>
    </xf>
    <xf numFmtId="9" fontId="0" fillId="0" borderId="0" xfId="0" applyNumberFormat="1"/>
    <xf numFmtId="10" fontId="0" fillId="0" borderId="0" xfId="0" applyNumberFormat="1"/>
    <xf numFmtId="43" fontId="0" fillId="0" borderId="0" xfId="3" applyFont="1"/>
    <xf numFmtId="165" fontId="0" fillId="0" borderId="0" xfId="4" applyNumberFormat="1" applyFont="1"/>
    <xf numFmtId="167" fontId="0" fillId="0" borderId="0" xfId="3" applyNumberFormat="1" applyFont="1"/>
    <xf numFmtId="168" fontId="0" fillId="0" borderId="0" xfId="0" applyNumberFormat="1"/>
    <xf numFmtId="168" fontId="9" fillId="0" borderId="0" xfId="0" applyNumberFormat="1" applyFont="1"/>
    <xf numFmtId="0" fontId="9" fillId="0" borderId="0" xfId="0" applyFont="1"/>
  </cellXfs>
  <cellStyles count="5">
    <cellStyle name="Dziesiętny" xfId="3" builtinId="3"/>
    <cellStyle name="Dziesiętny 2" xfId="2"/>
    <cellStyle name="Normalny" xfId="0" builtinId="0"/>
    <cellStyle name="Normalny 2" xfId="1"/>
    <cellStyle name="Procentowy"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ColWidth="9.140625" defaultRowHeight="12.75" x14ac:dyDescent="0.2"/>
  <cols>
    <col min="1" max="16384" width="9.140625" style="1"/>
  </cols>
  <sheetData>
    <row r="1" spans="1:1" s="8" customFormat="1" ht="21" x14ac:dyDescent="0.35">
      <c r="A1" s="7" t="s">
        <v>15</v>
      </c>
    </row>
    <row r="2" spans="1:1" s="8" customFormat="1" ht="15" x14ac:dyDescent="0.25">
      <c r="A2" s="9" t="s">
        <v>14</v>
      </c>
    </row>
    <row r="3" spans="1:1" s="8" customFormat="1" x14ac:dyDescent="0.2"/>
    <row r="4" spans="1:1" s="8" customFormat="1" ht="15" x14ac:dyDescent="0.25">
      <c r="A4" s="9" t="s">
        <v>16</v>
      </c>
    </row>
    <row r="5" spans="1:1" s="8" customFormat="1" x14ac:dyDescent="0.2"/>
    <row r="6" spans="1:1" s="8" customFormat="1" x14ac:dyDescent="0.2"/>
    <row r="7" spans="1:1" s="8" customFormat="1" x14ac:dyDescent="0.2">
      <c r="A7" s="10" t="s">
        <v>17</v>
      </c>
    </row>
    <row r="8" spans="1:1" s="8"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3" sqref="D13"/>
    </sheetView>
  </sheetViews>
  <sheetFormatPr defaultRowHeight="12.75" x14ac:dyDescent="0.2"/>
  <cols>
    <col min="2" max="2" width="11.28515625" customWidth="1"/>
    <col min="3" max="3" width="12.140625" bestFit="1" customWidth="1"/>
  </cols>
  <sheetData>
    <row r="1" spans="1:4" x14ac:dyDescent="0.2">
      <c r="B1" t="s">
        <v>44</v>
      </c>
      <c r="C1" t="s">
        <v>47</v>
      </c>
    </row>
    <row r="2" spans="1:4" x14ac:dyDescent="0.2">
      <c r="A2" t="s">
        <v>42</v>
      </c>
      <c r="B2">
        <v>13.8</v>
      </c>
      <c r="C2">
        <v>0.5</v>
      </c>
    </row>
    <row r="3" spans="1:4" x14ac:dyDescent="0.2">
      <c r="A3" t="s">
        <v>43</v>
      </c>
      <c r="B3">
        <v>15</v>
      </c>
      <c r="C3">
        <v>1.2</v>
      </c>
    </row>
    <row r="4" spans="1:4" x14ac:dyDescent="0.2">
      <c r="B4">
        <v>1.2</v>
      </c>
      <c r="C4">
        <v>0.7</v>
      </c>
      <c r="D4">
        <f>B4-C4</f>
        <v>0.5</v>
      </c>
    </row>
    <row r="7" spans="1:4" x14ac:dyDescent="0.2">
      <c r="B7" t="s">
        <v>45</v>
      </c>
    </row>
    <row r="8" spans="1:4" x14ac:dyDescent="0.2">
      <c r="B8" t="s">
        <v>46</v>
      </c>
    </row>
    <row r="11" spans="1:4" x14ac:dyDescent="0.2">
      <c r="C11" t="s">
        <v>48</v>
      </c>
      <c r="D11" t="s">
        <v>49</v>
      </c>
    </row>
    <row r="12" spans="1:4" x14ac:dyDescent="0.2">
      <c r="B12" t="s">
        <v>42</v>
      </c>
      <c r="C12">
        <f>C2-0.2</f>
        <v>0.3</v>
      </c>
      <c r="D12">
        <v>13.8</v>
      </c>
    </row>
    <row r="13" spans="1:4" x14ac:dyDescent="0.2">
      <c r="B13" t="s">
        <v>43</v>
      </c>
      <c r="C13">
        <v>14.9</v>
      </c>
      <c r="D13">
        <f>1.2</f>
        <v>1.2</v>
      </c>
    </row>
    <row r="14" spans="1:4" x14ac:dyDescent="0.2">
      <c r="B14" t="s">
        <v>50</v>
      </c>
      <c r="C14">
        <v>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workbookViewId="0">
      <selection activeCell="C6" sqref="C6"/>
    </sheetView>
  </sheetViews>
  <sheetFormatPr defaultRowHeight="12.75" x14ac:dyDescent="0.2"/>
  <sheetData>
    <row r="2" spans="2:4" x14ac:dyDescent="0.2">
      <c r="C2" t="s">
        <v>48</v>
      </c>
      <c r="D2" t="s">
        <v>49</v>
      </c>
    </row>
    <row r="3" spans="2:4" x14ac:dyDescent="0.2">
      <c r="B3" t="s">
        <v>51</v>
      </c>
      <c r="C3">
        <v>0.2</v>
      </c>
      <c r="D3">
        <v>7</v>
      </c>
    </row>
    <row r="4" spans="2:4" x14ac:dyDescent="0.2">
      <c r="B4" t="s">
        <v>52</v>
      </c>
      <c r="C4">
        <v>8.5</v>
      </c>
      <c r="D4">
        <v>1.5</v>
      </c>
    </row>
    <row r="5" spans="2:4" x14ac:dyDescent="0.2">
      <c r="B5" t="s">
        <v>50</v>
      </c>
      <c r="C5">
        <f>C3+C4-D3-D4</f>
        <v>0.19999999999999929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2.75" x14ac:dyDescent="0.2"/>
  <sheetData>
    <row r="1" spans="1:1" x14ac:dyDescent="0.2">
      <c r="A1">
        <f>1.1*30000000*EXP(-0.08*15/12)+0.1*30000000*EXP(-0.08*3/12)</f>
        <v>32800230.81510694</v>
      </c>
    </row>
    <row r="2" spans="1:1" x14ac:dyDescent="0.2">
      <c r="A2"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17" sqref="B17"/>
    </sheetView>
  </sheetViews>
  <sheetFormatPr defaultRowHeight="12.75" x14ac:dyDescent="0.2"/>
  <cols>
    <col min="3" max="3" width="9.5703125" bestFit="1" customWidth="1"/>
  </cols>
  <sheetData>
    <row r="1" spans="1:6" x14ac:dyDescent="0.2">
      <c r="A1" t="s">
        <v>55</v>
      </c>
      <c r="B1" t="s">
        <v>56</v>
      </c>
      <c r="C1" s="19">
        <v>8.9311203206651146E-2</v>
      </c>
    </row>
    <row r="2" spans="1:6" x14ac:dyDescent="0.2">
      <c r="B2" t="s">
        <v>57</v>
      </c>
      <c r="C2" s="17">
        <v>4.7500000000000001E-2</v>
      </c>
    </row>
    <row r="3" spans="1:6" x14ac:dyDescent="0.2">
      <c r="E3" t="s">
        <v>59</v>
      </c>
      <c r="F3">
        <v>6176.65</v>
      </c>
    </row>
    <row r="4" spans="1:6" x14ac:dyDescent="0.2">
      <c r="A4" t="s">
        <v>58</v>
      </c>
    </row>
    <row r="6" spans="1:6" x14ac:dyDescent="0.2">
      <c r="A6" t="s">
        <v>60</v>
      </c>
    </row>
    <row r="8" spans="1:6" x14ac:dyDescent="0.2">
      <c r="A8" t="s">
        <v>61</v>
      </c>
      <c r="B8">
        <v>0</v>
      </c>
    </row>
    <row r="9" spans="1:6" x14ac:dyDescent="0.2">
      <c r="B9" t="s">
        <v>62</v>
      </c>
      <c r="C9">
        <v>-10000000</v>
      </c>
      <c r="E9" t="s">
        <v>65</v>
      </c>
    </row>
    <row r="10" spans="1:6" x14ac:dyDescent="0.2">
      <c r="B10" t="s">
        <v>63</v>
      </c>
      <c r="C10" t="s">
        <v>64</v>
      </c>
      <c r="E10" t="s">
        <v>66</v>
      </c>
    </row>
    <row r="11" spans="1:6" x14ac:dyDescent="0.2">
      <c r="A11" t="s">
        <v>67</v>
      </c>
      <c r="B11" t="s">
        <v>68</v>
      </c>
      <c r="C11" t="s">
        <v>69</v>
      </c>
    </row>
    <row r="12" spans="1:6" x14ac:dyDescent="0.2">
      <c r="A12">
        <f>10000000/(1+0.07*3/4)</f>
        <v>9501187.6484560575</v>
      </c>
      <c r="B12">
        <f>10000000*(1+C1/4)/(1+0.076*4/4)</f>
        <v>9501187.7397924047</v>
      </c>
      <c r="C12">
        <f>A12-B12</f>
        <v>-9.1336347162723541E-2</v>
      </c>
    </row>
    <row r="14" spans="1:6" x14ac:dyDescent="0.2">
      <c r="A14" t="s">
        <v>70</v>
      </c>
      <c r="B14" t="s">
        <v>71</v>
      </c>
      <c r="C14">
        <f>((1.076)/(1+0.07*9/12)-1)*12/3</f>
        <v>8.9311163895486878E-2</v>
      </c>
    </row>
    <row r="16" spans="1:6" x14ac:dyDescent="0.2">
      <c r="B16"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abSelected="1" workbookViewId="0">
      <selection activeCell="F6" sqref="F6"/>
    </sheetView>
  </sheetViews>
  <sheetFormatPr defaultRowHeight="12.75" x14ac:dyDescent="0.2"/>
  <cols>
    <col min="2" max="2" width="12.5703125" bestFit="1" customWidth="1"/>
    <col min="3" max="3" width="11.42578125" bestFit="1" customWidth="1"/>
    <col min="4" max="4" width="12" bestFit="1" customWidth="1"/>
    <col min="12" max="13" width="9.7109375" bestFit="1" customWidth="1"/>
  </cols>
  <sheetData>
    <row r="1" spans="1:13" x14ac:dyDescent="0.2">
      <c r="A1" t="s">
        <v>55</v>
      </c>
    </row>
    <row r="2" spans="1:13" x14ac:dyDescent="0.2">
      <c r="A2" t="s">
        <v>73</v>
      </c>
      <c r="B2" t="s">
        <v>75</v>
      </c>
      <c r="C2" t="s">
        <v>74</v>
      </c>
      <c r="D2" t="s">
        <v>82</v>
      </c>
      <c r="K2" t="s">
        <v>60</v>
      </c>
    </row>
    <row r="3" spans="1:13" x14ac:dyDescent="0.2">
      <c r="A3">
        <v>4</v>
      </c>
      <c r="B3">
        <f>1/(1+C3*(A3*7)/360)</f>
        <v>0.99721239442273502</v>
      </c>
      <c r="C3">
        <f>(2.38*10^(-7))*A3^3 - (2.49*10^(-5))*A3^2 +(8.31*10^(-4))*A3 + 3.3*10^(-2)</f>
        <v>3.5940831999999999E-2</v>
      </c>
      <c r="K3" s="16"/>
      <c r="L3" t="s">
        <v>22</v>
      </c>
      <c r="M3" t="s">
        <v>83</v>
      </c>
    </row>
    <row r="4" spans="1:13" x14ac:dyDescent="0.2">
      <c r="A4">
        <v>8</v>
      </c>
      <c r="B4">
        <f>1/(1+C4*(A4*7)/360)</f>
        <v>0.99409652921961345</v>
      </c>
      <c r="C4">
        <f t="shared" ref="C4:C15" si="0">(2.38*10^(-7))*A4^3 - (2.49*10^(-5))*A4^2 +(8.31*10^(-4))*A4 + 3.3*10^(-2)</f>
        <v>3.8176256000000006E-2</v>
      </c>
      <c r="D4">
        <f>(B3/B4-1)*360/28</f>
        <v>4.0299028175446248E-2</v>
      </c>
      <c r="L4" s="20">
        <f>D4-$K$6</f>
        <v>-9.7009718245537543E-3</v>
      </c>
      <c r="M4" s="21">
        <f>L4*B4</f>
        <v>-9.6437024208461484E-3</v>
      </c>
    </row>
    <row r="5" spans="1:13" x14ac:dyDescent="0.2">
      <c r="A5">
        <v>12</v>
      </c>
      <c r="B5">
        <f t="shared" ref="B4:B15" si="1">1/(1+C5*(A5*7)/360)</f>
        <v>0.99079931706057855</v>
      </c>
      <c r="C5">
        <f t="shared" si="0"/>
        <v>3.9797664000000003E-2</v>
      </c>
      <c r="D5">
        <f t="shared" ref="D5:D15" si="2">(B4/B5-1)*360/28</f>
        <v>4.2786391783946609E-2</v>
      </c>
      <c r="L5" s="20">
        <f t="shared" ref="L5:L24" si="3">D5-$K$6</f>
        <v>-7.2136082160533938E-3</v>
      </c>
      <c r="M5" s="21">
        <f t="shared" ref="M5:M15" si="4">L5*B5</f>
        <v>-7.1472380940082805E-3</v>
      </c>
    </row>
    <row r="6" spans="1:13" x14ac:dyDescent="0.2">
      <c r="A6">
        <v>16</v>
      </c>
      <c r="B6">
        <f t="shared" si="1"/>
        <v>0.98743651016713507</v>
      </c>
      <c r="C6">
        <f t="shared" si="0"/>
        <v>4.0896448000000002E-2</v>
      </c>
      <c r="D6">
        <f t="shared" si="2"/>
        <v>4.3786196058994066E-2</v>
      </c>
      <c r="J6" t="s">
        <v>80</v>
      </c>
      <c r="K6" s="18">
        <v>0.05</v>
      </c>
      <c r="L6" s="20">
        <f t="shared" si="3"/>
        <v>-6.2138039410059367E-3</v>
      </c>
      <c r="M6" s="21">
        <f t="shared" si="4"/>
        <v>-6.1357368783696922E-3</v>
      </c>
    </row>
    <row r="7" spans="1:13" x14ac:dyDescent="0.2">
      <c r="A7">
        <v>20</v>
      </c>
      <c r="B7">
        <f t="shared" si="1"/>
        <v>0.98409333403604882</v>
      </c>
      <c r="C7">
        <f t="shared" si="0"/>
        <v>4.1564000000000004E-2</v>
      </c>
      <c r="D7">
        <f t="shared" si="2"/>
        <v>4.3678471977527548E-2</v>
      </c>
      <c r="L7" s="20">
        <f t="shared" si="3"/>
        <v>-6.3215280224724543E-3</v>
      </c>
      <c r="M7" s="21">
        <f t="shared" si="4"/>
        <v>-6.220973587837228E-3</v>
      </c>
    </row>
    <row r="8" spans="1:13" x14ac:dyDescent="0.2">
      <c r="A8">
        <v>24</v>
      </c>
      <c r="B8">
        <f t="shared" si="1"/>
        <v>0.98082538782118323</v>
      </c>
      <c r="C8">
        <f t="shared" si="0"/>
        <v>4.1891711999999998E-2</v>
      </c>
      <c r="D8">
        <f t="shared" si="2"/>
        <v>4.283785050397456E-2</v>
      </c>
      <c r="L8" s="20">
        <f t="shared" si="3"/>
        <v>-7.1621494960254425E-3</v>
      </c>
      <c r="M8" s="21">
        <f t="shared" si="4"/>
        <v>-7.024818057072447E-3</v>
      </c>
    </row>
    <row r="9" spans="1:13" x14ac:dyDescent="0.2">
      <c r="A9">
        <v>28</v>
      </c>
      <c r="B9">
        <f t="shared" si="1"/>
        <v>0.97765963201530359</v>
      </c>
      <c r="C9">
        <f t="shared" si="0"/>
        <v>4.1970976E-2</v>
      </c>
      <c r="D9">
        <f t="shared" si="2"/>
        <v>4.163266367367572E-2</v>
      </c>
      <c r="L9" s="20">
        <f t="shared" si="3"/>
        <v>-8.3673363263242831E-3</v>
      </c>
      <c r="M9" s="21">
        <f t="shared" si="4"/>
        <v>-8.1804069537424803E-3</v>
      </c>
    </row>
    <row r="10" spans="1:13" x14ac:dyDescent="0.2">
      <c r="A10">
        <v>32</v>
      </c>
      <c r="B10">
        <f t="shared" si="1"/>
        <v>0.97459534967412476</v>
      </c>
      <c r="C10">
        <f t="shared" si="0"/>
        <v>4.1893184E-2</v>
      </c>
      <c r="D10">
        <f t="shared" si="2"/>
        <v>4.042489616673306E-2</v>
      </c>
      <c r="L10" s="20">
        <f t="shared" si="3"/>
        <v>-9.575103833266943E-3</v>
      </c>
      <c r="M10" s="21">
        <f t="shared" si="4"/>
        <v>-9.3318516685488486E-3</v>
      </c>
    </row>
    <row r="11" spans="1:13" x14ac:dyDescent="0.2">
      <c r="A11">
        <v>36</v>
      </c>
      <c r="B11">
        <f t="shared" si="1"/>
        <v>0.97160502804886906</v>
      </c>
      <c r="C11">
        <f t="shared" si="0"/>
        <v>4.1749728E-2</v>
      </c>
      <c r="D11">
        <f t="shared" si="2"/>
        <v>3.9570598355098054E-2</v>
      </c>
      <c r="L11" s="20">
        <f t="shared" si="3"/>
        <v>-1.0429401644901949E-2</v>
      </c>
      <c r="M11" s="21">
        <f t="shared" si="4"/>
        <v>-1.013325907772788E-2</v>
      </c>
    </row>
    <row r="12" spans="1:13" x14ac:dyDescent="0.2">
      <c r="A12">
        <v>40</v>
      </c>
      <c r="B12">
        <f t="shared" si="1"/>
        <v>0.96863516292012941</v>
      </c>
      <c r="C12">
        <f t="shared" si="0"/>
        <v>4.1632000000000002E-2</v>
      </c>
      <c r="D12">
        <f t="shared" si="2"/>
        <v>3.9420394477048336E-2</v>
      </c>
      <c r="L12" s="20">
        <f t="shared" si="3"/>
        <v>-1.0579605522951667E-2</v>
      </c>
      <c r="M12" s="21">
        <f t="shared" si="4"/>
        <v>-1.0247777919354989E-2</v>
      </c>
    </row>
    <row r="13" spans="1:13" x14ac:dyDescent="0.2">
      <c r="A13">
        <v>44</v>
      </c>
      <c r="B13">
        <f t="shared" si="1"/>
        <v>0.96560703870806741</v>
      </c>
      <c r="C13">
        <f t="shared" si="0"/>
        <v>4.1631391999999996E-2</v>
      </c>
      <c r="D13">
        <f t="shared" si="2"/>
        <v>4.031974087072232E-2</v>
      </c>
      <c r="L13" s="20">
        <f t="shared" si="3"/>
        <v>-9.6802591292776824E-3</v>
      </c>
      <c r="M13" s="21">
        <f t="shared" si="4"/>
        <v>-9.3473263517485587E-3</v>
      </c>
    </row>
    <row r="14" spans="1:13" x14ac:dyDescent="0.2">
      <c r="A14">
        <v>48</v>
      </c>
      <c r="B14">
        <f t="shared" si="1"/>
        <v>0.96241758410162292</v>
      </c>
      <c r="C14">
        <f t="shared" si="0"/>
        <v>4.1839295999999998E-2</v>
      </c>
      <c r="D14">
        <f t="shared" si="2"/>
        <v>4.2608607935720667E-2</v>
      </c>
      <c r="L14" s="20">
        <f t="shared" si="3"/>
        <v>-7.3913920642793354E-3</v>
      </c>
      <c r="M14" s="21">
        <f t="shared" si="4"/>
        <v>-7.113605693651626E-3</v>
      </c>
    </row>
    <row r="15" spans="1:13" x14ac:dyDescent="0.2">
      <c r="A15">
        <v>52</v>
      </c>
      <c r="B15">
        <f t="shared" si="1"/>
        <v>0.95894044533419986</v>
      </c>
      <c r="C15">
        <f t="shared" si="0"/>
        <v>4.234710399999999E-2</v>
      </c>
      <c r="D15">
        <f t="shared" si="2"/>
        <v>4.662027770795258E-2</v>
      </c>
      <c r="L15" s="20">
        <f t="shared" si="3"/>
        <v>-3.3797222920474226E-3</v>
      </c>
      <c r="M15" s="21">
        <f t="shared" si="4"/>
        <v>-3.240952399841878E-3</v>
      </c>
    </row>
    <row r="16" spans="1:13" x14ac:dyDescent="0.2">
      <c r="B16">
        <f>SUM(B4:B15)</f>
        <v>11.716711319106876</v>
      </c>
      <c r="C16" t="s">
        <v>76</v>
      </c>
      <c r="L16" s="20" t="s">
        <v>84</v>
      </c>
      <c r="M16" s="22">
        <f>SUM(M4:M15)</f>
        <v>-9.3767649102750067E-2</v>
      </c>
    </row>
    <row r="17" spans="2:12" x14ac:dyDescent="0.2">
      <c r="B17">
        <f>B16*28/360</f>
        <v>0.91129976926386813</v>
      </c>
      <c r="L17" s="20"/>
    </row>
    <row r="18" spans="2:12" x14ac:dyDescent="0.2">
      <c r="B18" t="s">
        <v>77</v>
      </c>
      <c r="C18" t="s">
        <v>81</v>
      </c>
      <c r="L18" s="20"/>
    </row>
    <row r="19" spans="2:12" x14ac:dyDescent="0.2">
      <c r="B19" t="s">
        <v>78</v>
      </c>
      <c r="C19" t="s">
        <v>79</v>
      </c>
      <c r="L19" s="20"/>
    </row>
    <row r="20" spans="2:12" x14ac:dyDescent="0.2">
      <c r="L20" s="20"/>
    </row>
    <row r="21" spans="2:12" x14ac:dyDescent="0.2">
      <c r="B21" t="s">
        <v>80</v>
      </c>
      <c r="C21" s="23">
        <f>(B3-B15)/B17</f>
        <v>4.1997101699532476E-2</v>
      </c>
      <c r="L21" s="20"/>
    </row>
    <row r="22" spans="2:12" x14ac:dyDescent="0.2">
      <c r="L22" s="20"/>
    </row>
    <row r="23" spans="2:12" x14ac:dyDescent="0.2">
      <c r="L23" s="20"/>
    </row>
    <row r="24" spans="2:12" x14ac:dyDescent="0.2">
      <c r="L2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13" workbookViewId="0">
      <selection activeCell="B14" sqref="B14"/>
    </sheetView>
  </sheetViews>
  <sheetFormatPr defaultColWidth="9.140625" defaultRowHeight="15.75" x14ac:dyDescent="0.25"/>
  <cols>
    <col min="1" max="1" width="9.140625" style="2"/>
    <col min="2" max="2" width="137.140625" style="2" customWidth="1"/>
    <col min="3" max="16384" width="9.140625" style="2"/>
  </cols>
  <sheetData>
    <row r="1" spans="1:2" x14ac:dyDescent="0.25">
      <c r="A1" s="5" t="s">
        <v>0</v>
      </c>
      <c r="B1" s="6" t="s">
        <v>1</v>
      </c>
    </row>
    <row r="2" spans="1:2" ht="47.25" x14ac:dyDescent="0.25">
      <c r="A2" s="4">
        <v>1</v>
      </c>
      <c r="B2" s="3" t="s">
        <v>10</v>
      </c>
    </row>
    <row r="3" spans="1:2" ht="47.25" x14ac:dyDescent="0.25">
      <c r="A3" s="4">
        <v>2</v>
      </c>
      <c r="B3" s="3" t="s">
        <v>2</v>
      </c>
    </row>
    <row r="4" spans="1:2" ht="47.25" x14ac:dyDescent="0.25">
      <c r="A4" s="4">
        <v>3</v>
      </c>
      <c r="B4" s="12" t="s">
        <v>11</v>
      </c>
    </row>
    <row r="5" spans="1:2" ht="47.25" x14ac:dyDescent="0.25">
      <c r="A5" s="4">
        <v>4</v>
      </c>
      <c r="B5" s="3" t="s">
        <v>12</v>
      </c>
    </row>
    <row r="6" spans="1:2" ht="63" x14ac:dyDescent="0.25">
      <c r="A6" s="4">
        <v>5</v>
      </c>
      <c r="B6" s="3" t="s">
        <v>3</v>
      </c>
    </row>
    <row r="7" spans="1:2" ht="47.25" x14ac:dyDescent="0.25">
      <c r="A7" s="4">
        <v>6</v>
      </c>
      <c r="B7" s="3" t="s">
        <v>4</v>
      </c>
    </row>
    <row r="8" spans="1:2" ht="47.25" x14ac:dyDescent="0.25">
      <c r="A8" s="4">
        <v>7</v>
      </c>
      <c r="B8" s="3" t="s">
        <v>5</v>
      </c>
    </row>
    <row r="9" spans="1:2" ht="94.5" x14ac:dyDescent="0.25">
      <c r="A9" s="4">
        <v>8</v>
      </c>
      <c r="B9" s="3" t="s">
        <v>7</v>
      </c>
    </row>
    <row r="10" spans="1:2" ht="94.5" x14ac:dyDescent="0.25">
      <c r="A10" s="4">
        <v>9</v>
      </c>
      <c r="B10" s="3" t="s">
        <v>13</v>
      </c>
    </row>
    <row r="11" spans="1:2" ht="78.75" x14ac:dyDescent="0.25">
      <c r="A11" s="4">
        <v>10</v>
      </c>
      <c r="B11" s="3" t="s">
        <v>6</v>
      </c>
    </row>
    <row r="12" spans="1:2" ht="78.75" x14ac:dyDescent="0.25">
      <c r="A12" s="4">
        <v>11</v>
      </c>
      <c r="B12" s="3" t="s">
        <v>8</v>
      </c>
    </row>
    <row r="13" spans="1:2" ht="94.5" x14ac:dyDescent="0.25">
      <c r="A13" s="4">
        <v>12</v>
      </c>
      <c r="B13" s="11" t="s">
        <v>9</v>
      </c>
    </row>
    <row r="14" spans="1:2" ht="126" x14ac:dyDescent="0.25">
      <c r="A14" s="15">
        <v>13</v>
      </c>
      <c r="B14" s="1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7" sqref="G7"/>
    </sheetView>
  </sheetViews>
  <sheetFormatPr defaultRowHeight="12.75" x14ac:dyDescent="0.2"/>
  <sheetData>
    <row r="1" spans="1:8" ht="38.25" customHeight="1" x14ac:dyDescent="0.2">
      <c r="A1" t="s">
        <v>19</v>
      </c>
      <c r="B1" s="13" t="s">
        <v>18</v>
      </c>
      <c r="C1" t="s">
        <v>20</v>
      </c>
      <c r="E1" s="13" t="s">
        <v>21</v>
      </c>
      <c r="F1" s="13" t="s">
        <v>22</v>
      </c>
      <c r="G1" t="s">
        <v>23</v>
      </c>
      <c r="H1" t="s">
        <v>24</v>
      </c>
    </row>
    <row r="2" spans="1:8" x14ac:dyDescent="0.2">
      <c r="A2">
        <v>10</v>
      </c>
      <c r="B2">
        <f>$A$2*C2*0.4</f>
        <v>2000</v>
      </c>
      <c r="C2">
        <v>500</v>
      </c>
      <c r="E2">
        <f t="shared" ref="E2:E8" si="0">$A$2*C2*0.3</f>
        <v>1500</v>
      </c>
      <c r="F2">
        <f>-(10*C2)-B2</f>
        <v>-7000</v>
      </c>
      <c r="G2">
        <f>B2</f>
        <v>2000</v>
      </c>
    </row>
    <row r="3" spans="1:8" x14ac:dyDescent="0.2">
      <c r="B3">
        <f t="shared" ref="B3:B8" si="1">$A$2*C3*0.4</f>
        <v>1920</v>
      </c>
      <c r="C3">
        <v>480</v>
      </c>
      <c r="D3">
        <f>C2-C3</f>
        <v>20</v>
      </c>
      <c r="E3">
        <f t="shared" si="0"/>
        <v>1440</v>
      </c>
      <c r="F3">
        <f>$A$2*D3</f>
        <v>200</v>
      </c>
      <c r="G3">
        <f>G2+F3</f>
        <v>2200</v>
      </c>
    </row>
    <row r="4" spans="1:8" x14ac:dyDescent="0.2">
      <c r="B4">
        <f t="shared" si="1"/>
        <v>1960</v>
      </c>
      <c r="C4">
        <v>490</v>
      </c>
      <c r="D4">
        <f t="shared" ref="D4:D8" si="2">C3-C4</f>
        <v>-10</v>
      </c>
      <c r="E4">
        <f t="shared" si="0"/>
        <v>1470</v>
      </c>
      <c r="F4">
        <f t="shared" ref="F4:F8" si="3">$A$2*D4</f>
        <v>-100</v>
      </c>
      <c r="G4">
        <f t="shared" ref="G4:G8" si="4">G3+F4</f>
        <v>2100</v>
      </c>
    </row>
    <row r="5" spans="1:8" x14ac:dyDescent="0.2">
      <c r="B5">
        <f t="shared" si="1"/>
        <v>2120</v>
      </c>
      <c r="C5">
        <v>530</v>
      </c>
      <c r="D5">
        <f t="shared" si="2"/>
        <v>-40</v>
      </c>
      <c r="E5">
        <f t="shared" si="0"/>
        <v>1590</v>
      </c>
      <c r="F5">
        <f t="shared" si="3"/>
        <v>-400</v>
      </c>
      <c r="G5">
        <f t="shared" si="4"/>
        <v>1700</v>
      </c>
    </row>
    <row r="6" spans="1:8" x14ac:dyDescent="0.2">
      <c r="B6">
        <f t="shared" si="1"/>
        <v>2320</v>
      </c>
      <c r="C6">
        <v>580</v>
      </c>
      <c r="D6">
        <f>C5-C6</f>
        <v>-50</v>
      </c>
      <c r="E6">
        <f t="shared" si="0"/>
        <v>1740</v>
      </c>
      <c r="F6">
        <f>$A$2*D6</f>
        <v>-500</v>
      </c>
      <c r="G6">
        <f>G5+F6+H6</f>
        <v>2320</v>
      </c>
      <c r="H6">
        <f>1120</f>
        <v>1120</v>
      </c>
    </row>
    <row r="7" spans="1:8" x14ac:dyDescent="0.2">
      <c r="B7">
        <f t="shared" si="1"/>
        <v>2080</v>
      </c>
      <c r="C7">
        <v>520</v>
      </c>
      <c r="D7">
        <f t="shared" si="2"/>
        <v>60</v>
      </c>
      <c r="E7">
        <f t="shared" si="0"/>
        <v>1560</v>
      </c>
      <c r="F7">
        <f>$A$2*D7</f>
        <v>600</v>
      </c>
      <c r="G7">
        <f>G6+F7</f>
        <v>2920</v>
      </c>
    </row>
    <row r="8" spans="1:8" x14ac:dyDescent="0.2">
      <c r="B8">
        <f t="shared" si="1"/>
        <v>1960</v>
      </c>
      <c r="C8">
        <v>490</v>
      </c>
      <c r="D8">
        <f t="shared" si="2"/>
        <v>30</v>
      </c>
      <c r="E8">
        <f t="shared" si="0"/>
        <v>1470</v>
      </c>
      <c r="F8">
        <f t="shared" si="3"/>
        <v>300</v>
      </c>
      <c r="G8">
        <f t="shared" si="4"/>
        <v>3220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2.75" x14ac:dyDescent="0.2"/>
  <cols>
    <col min="4" max="4" width="15.140625" bestFit="1" customWidth="1"/>
  </cols>
  <sheetData>
    <row r="1" spans="1:5" x14ac:dyDescent="0.2">
      <c r="A1" t="s">
        <v>28</v>
      </c>
      <c r="D1" t="s">
        <v>19</v>
      </c>
      <c r="E1">
        <v>3</v>
      </c>
    </row>
    <row r="2" spans="1:5" x14ac:dyDescent="0.2">
      <c r="A2" t="s">
        <v>25</v>
      </c>
      <c r="B2">
        <f>1100*3</f>
        <v>3300</v>
      </c>
      <c r="D2" t="s">
        <v>33</v>
      </c>
      <c r="E2">
        <f>2620*10</f>
        <v>26200</v>
      </c>
    </row>
    <row r="3" spans="1:5" x14ac:dyDescent="0.2">
      <c r="A3" t="s">
        <v>26</v>
      </c>
      <c r="B3">
        <f>B2+(E2-E3)*E1</f>
        <v>2700.000000001135</v>
      </c>
      <c r="D3" t="s">
        <v>34</v>
      </c>
      <c r="E3">
        <v>26399.999999999622</v>
      </c>
    </row>
    <row r="4" spans="1:5" x14ac:dyDescent="0.2">
      <c r="D4" t="s">
        <v>27</v>
      </c>
      <c r="E4">
        <f>E3/10</f>
        <v>2639.9999999999623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
  <sheetViews>
    <sheetView workbookViewId="0">
      <selection activeCell="C4" sqref="C4"/>
    </sheetView>
  </sheetViews>
  <sheetFormatPr defaultRowHeight="12.75" x14ac:dyDescent="0.2"/>
  <cols>
    <col min="2" max="2" width="15.85546875" bestFit="1" customWidth="1"/>
  </cols>
  <sheetData>
    <row r="1" spans="2:6" x14ac:dyDescent="0.2">
      <c r="B1" t="s">
        <v>27</v>
      </c>
      <c r="C1">
        <v>0.65</v>
      </c>
      <c r="E1" t="s">
        <v>30</v>
      </c>
      <c r="F1">
        <v>0.03</v>
      </c>
    </row>
    <row r="2" spans="2:6" x14ac:dyDescent="0.2">
      <c r="B2" t="s">
        <v>29</v>
      </c>
      <c r="C2">
        <v>0.66</v>
      </c>
      <c r="E2" t="s">
        <v>31</v>
      </c>
      <c r="F2">
        <v>0.08</v>
      </c>
    </row>
    <row r="3" spans="2:6" x14ac:dyDescent="0.2">
      <c r="B3" t="s">
        <v>32</v>
      </c>
      <c r="C3">
        <f>C1*EXP((F2-F1)/6)</f>
        <v>0.65543929893484054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6" sqref="A6"/>
    </sheetView>
  </sheetViews>
  <sheetFormatPr defaultRowHeight="12.75" x14ac:dyDescent="0.2"/>
  <cols>
    <col min="1" max="1" width="10.140625" bestFit="1" customWidth="1"/>
    <col min="2" max="2" width="11.42578125" bestFit="1" customWidth="1"/>
  </cols>
  <sheetData>
    <row r="1" spans="1:5" x14ac:dyDescent="0.2">
      <c r="A1" s="14"/>
    </row>
    <row r="2" spans="1:5" x14ac:dyDescent="0.2">
      <c r="A2">
        <f>_xlfn.DAYS(DATEVALUE("2014-4-25"),DATEVALUE("2013-10-4"))</f>
        <v>203</v>
      </c>
      <c r="B2" t="s">
        <v>35</v>
      </c>
      <c r="C2">
        <f>378.85*EXP(0.0528*A2/365)</f>
        <v>390.14006974246678</v>
      </c>
      <c r="D2" t="s">
        <v>36</v>
      </c>
      <c r="E2" t="s">
        <v>37</v>
      </c>
    </row>
    <row r="4" spans="1:5" x14ac:dyDescent="0.2">
      <c r="A4" t="s">
        <v>38</v>
      </c>
    </row>
    <row r="5" spans="1:5" x14ac:dyDescent="0.2">
      <c r="A5"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2.75" x14ac:dyDescent="0.2"/>
  <sheetData>
    <row r="1" spans="1:2" x14ac:dyDescent="0.2">
      <c r="A1">
        <v>4.4000000000000004</v>
      </c>
      <c r="B1"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3" sqref="A3"/>
    </sheetView>
  </sheetViews>
  <sheetFormatPr defaultRowHeight="12.75" x14ac:dyDescent="0.2"/>
  <sheetData>
    <row r="2" spans="1:2" x14ac:dyDescent="0.2">
      <c r="A2" t="s">
        <v>41</v>
      </c>
      <c r="B2">
        <f>0.57/0.85*0.3876</f>
        <v>0.25991999999999998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14</vt:i4>
      </vt:variant>
    </vt:vector>
  </HeadingPairs>
  <TitlesOfParts>
    <vt:vector size="14" baseType="lpstr">
      <vt:lpstr>Info</vt:lpstr>
      <vt:lpstr>Zadania</vt:lpstr>
      <vt:lpstr>zad1</vt:lpstr>
      <vt:lpstr>zad2</vt:lpstr>
      <vt:lpstr>zad3</vt:lpstr>
      <vt:lpstr>zad4</vt:lpstr>
      <vt:lpstr>zad5</vt:lpstr>
      <vt:lpstr>zad6</vt:lpstr>
      <vt:lpstr>zad7</vt:lpstr>
      <vt:lpstr>zad8</vt:lpstr>
      <vt:lpstr>zad9</vt:lpstr>
      <vt:lpstr>zad10</vt:lpstr>
      <vt:lpstr>zad12</vt:lpstr>
      <vt:lpstr>zad13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L1_rozw</dc:title>
  <dc:creator>dr Rafał Weron</dc:creator>
  <cp:lastModifiedBy>Maciej</cp:lastModifiedBy>
  <cp:lastPrinted>2000-04-29T06:50:58Z</cp:lastPrinted>
  <dcterms:created xsi:type="dcterms:W3CDTF">2000-04-14T07:44:12Z</dcterms:created>
  <dcterms:modified xsi:type="dcterms:W3CDTF">2017-04-03T10:45:55Z</dcterms:modified>
</cp:coreProperties>
</file>