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9E15F7D0-4635-4306-841B-B32B864B0726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12" i="6" l="1"/>
  <c r="C13" i="10"/>
  <c r="C14" i="10"/>
  <c r="C15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2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B28" i="9"/>
  <c r="E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M29" i="9" s="1"/>
  <c r="B12" i="7" l="1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E30" i="9"/>
  <c r="D30" i="9"/>
  <c r="B30" i="9"/>
  <c r="B11" i="7" l="1"/>
  <c r="B13" i="7" s="1"/>
  <c r="B5" i="7"/>
  <c r="B4" i="7"/>
  <c r="B7" i="7"/>
  <c r="B8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6" i="7" l="1"/>
  <c r="B10" i="7" s="1"/>
  <c r="B9" i="7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9" i="7"/>
</calcChain>
</file>

<file path=xl/sharedStrings.xml><?xml version="1.0" encoding="utf-8"?>
<sst xmlns="http://schemas.openxmlformats.org/spreadsheetml/2006/main" count="13131" uniqueCount="5450">
  <si>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</si>
  <si>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</si>
  <si>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</si>
  <si>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</si>
  <si>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</si>
  <si>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</si>
  <si>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</si>
  <si>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</si>
  <si>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</si>
  <si>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</si>
  <si>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</si>
  <si>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</si>
  <si>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</si>
  <si>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</si>
  <si>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</si>
  <si>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</si>
  <si>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</si>
  <si>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</si>
  <si>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</si>
  <si>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</si>
  <si>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</si>
  <si>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</si>
  <si>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</si>
  <si>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</si>
  <si>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</si>
  <si>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</si>
  <si>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</si>
  <si>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</si>
  <si>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</si>
  <si>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</si>
  <si>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</si>
  <si>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</si>
  <si>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</si>
  <si>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</si>
  <si>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</si>
  <si>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</si>
  <si>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</si>
  <si>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</si>
  <si>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</si>
  <si>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</si>
  <si>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</si>
  <si>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</si>
  <si>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</si>
  <si>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</si>
  <si>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</si>
  <si>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</si>
  <si>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</si>
  <si>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</si>
  <si>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</si>
  <si>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</si>
  <si>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</si>
  <si>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</si>
  <si>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</si>
  <si>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</si>
  <si>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</si>
  <si>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</si>
  <si>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</si>
  <si>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</si>
  <si>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</si>
  <si>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</si>
  <si>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</si>
  <si>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</si>
  <si>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</si>
  <si>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</si>
  <si>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</si>
  <si>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</si>
  <si>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</si>
  <si>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</si>
  <si>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</si>
  <si>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</si>
  <si>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</si>
  <si>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</si>
  <si>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</si>
  <si>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</si>
  <si>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</si>
  <si>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</si>
  <si>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</si>
  <si>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</si>
  <si>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</si>
  <si>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</si>
  <si>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</si>
  <si>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</si>
  <si>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</si>
  <si>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</si>
  <si>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</si>
  <si>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</si>
  <si>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</si>
  <si>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</si>
  <si>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</si>
  <si>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</si>
  <si>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</si>
  <si>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</si>
  <si>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</si>
  <si>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</si>
  <si>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</si>
  <si>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</si>
  <si>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</si>
  <si>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</si>
  <si>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</si>
  <si>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</si>
  <si>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</si>
  <si>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</si>
  <si>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</si>
  <si>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</si>
  <si>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</si>
  <si>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</si>
  <si>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</si>
  <si>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</si>
  <si>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</si>
  <si>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</si>
  <si>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</si>
  <si>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</si>
  <si>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</si>
  <si>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</si>
  <si>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</si>
  <si>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</si>
  <si>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</si>
  <si>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</si>
  <si>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</si>
  <si>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</si>
  <si>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</si>
  <si>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</si>
  <si>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</si>
  <si>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</si>
  <si>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</si>
  <si>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</si>
  <si>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</si>
  <si>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</si>
  <si>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</si>
  <si>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</si>
  <si>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</si>
  <si>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</si>
  <si>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</si>
  <si>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</si>
  <si>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</si>
  <si>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</si>
  <si>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</si>
  <si>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</si>
  <si>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</si>
  <si>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</si>
  <si>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</si>
  <si>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</si>
  <si>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</si>
  <si>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</si>
  <si>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</si>
  <si>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</si>
  <si>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</si>
  <si>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</si>
  <si>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</si>
  <si>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</si>
  <si>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</si>
  <si>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</si>
  <si>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</si>
  <si>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</si>
  <si>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</si>
  <si>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</si>
  <si>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</si>
  <si>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</si>
  <si>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</si>
  <si>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</si>
  <si>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</si>
  <si>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</si>
  <si>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</si>
  <si>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</si>
  <si>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</si>
  <si>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</si>
  <si>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</si>
  <si>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</si>
  <si>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</si>
  <si>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</si>
  <si>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</si>
  <si>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</si>
  <si>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</si>
  <si>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</si>
  <si>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</si>
  <si>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</si>
  <si>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</si>
  <si>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</si>
  <si>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</si>
  <si>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</si>
  <si>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</si>
  <si>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</si>
  <si>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</si>
  <si>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</si>
  <si>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</si>
  <si>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</si>
  <si>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</si>
  <si>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</si>
  <si>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</si>
  <si>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</si>
  <si>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</si>
  <si>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</si>
  <si>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</si>
  <si>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</si>
  <si>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</si>
  <si>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</si>
  <si>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</si>
  <si>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</si>
  <si>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</si>
  <si>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</si>
  <si>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</si>
  <si>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</si>
  <si>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</si>
  <si>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</si>
  <si>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</si>
  <si>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</si>
  <si>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</si>
  <si>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</si>
  <si>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</si>
  <si>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</si>
  <si>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</si>
  <si>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</si>
  <si>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</si>
  <si>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</si>
  <si>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</si>
  <si>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</si>
  <si>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</si>
  <si>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</si>
  <si>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</si>
  <si>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</si>
  <si>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</si>
  <si>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</si>
  <si>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</si>
  <si>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</si>
  <si>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</si>
  <si>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</si>
  <si>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</si>
  <si>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</si>
  <si>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</si>
  <si>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</si>
  <si>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</si>
  <si>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</si>
  <si>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</si>
  <si>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</si>
  <si>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</si>
  <si>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</si>
  <si>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</si>
  <si>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</si>
  <si>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</si>
  <si>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</si>
  <si>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</si>
  <si>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</si>
  <si>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</si>
  <si>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</si>
  <si>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</si>
  <si>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</si>
  <si>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</si>
  <si>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</si>
  <si>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</si>
  <si>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</si>
  <si>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</si>
  <si>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</si>
  <si>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</si>
  <si>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</si>
  <si>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</si>
  <si>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</si>
  <si>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</si>
  <si>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</si>
  <si>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</si>
  <si>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</si>
  <si>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</si>
  <si>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</si>
  <si>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</si>
  <si>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</si>
  <si>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</si>
  <si>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</si>
  <si>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</si>
  <si>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</si>
  <si>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</si>
  <si>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</si>
  <si>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</si>
  <si>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</si>
  <si>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</si>
  <si>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</si>
  <si>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</si>
  <si>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</si>
  <si>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</si>
  <si>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</si>
  <si>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</si>
  <si>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</si>
  <si>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</si>
  <si>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</si>
  <si>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</si>
  <si>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</si>
  <si>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</si>
  <si>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</si>
  <si>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</si>
  <si>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</si>
  <si>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</si>
  <si>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</si>
  <si>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</si>
  <si>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</si>
  <si>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</si>
  <si>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</si>
  <si>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</si>
  <si>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</si>
  <si>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</si>
  <si>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</si>
  <si>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</si>
  <si>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</si>
  <si>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</si>
  <si>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</si>
  <si>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</si>
  <si>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</si>
  <si>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</si>
  <si>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</si>
  <si>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</si>
  <si>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</si>
  <si>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</si>
  <si>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</si>
  <si>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</si>
  <si>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</si>
  <si>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</si>
  <si>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</si>
  <si>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</si>
  <si>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</si>
  <si>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</si>
  <si>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</si>
  <si>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</si>
  <si>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</si>
  <si>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</si>
  <si>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</si>
  <si>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</si>
  <si>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</si>
  <si>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</si>
  <si>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</si>
  <si>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</si>
  <si>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</si>
  <si>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</si>
  <si>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</si>
  <si>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</si>
  <si>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</si>
  <si>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</si>
  <si>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</si>
  <si>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</si>
  <si>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</si>
  <si>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</si>
  <si>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</si>
  <si>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</si>
  <si>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</si>
  <si>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</si>
  <si>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</si>
  <si>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</si>
  <si>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</si>
  <si>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</si>
  <si>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</si>
  <si>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</si>
  <si>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</si>
  <si>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</si>
  <si>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</si>
  <si>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</si>
  <si>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</si>
  <si>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</si>
  <si>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</si>
  <si>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</si>
  <si>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</si>
  <si>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</si>
  <si>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</si>
  <si>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</si>
  <si>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</si>
  <si>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</si>
  <si>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</si>
  <si>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</si>
  <si>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</si>
  <si>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</si>
  <si>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</si>
  <si>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</si>
  <si>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</si>
  <si>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</si>
  <si>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</si>
  <si>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</si>
  <si>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</si>
  <si>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</si>
  <si>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</si>
  <si>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</si>
  <si>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</si>
  <si>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</si>
  <si>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</si>
  <si>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</si>
  <si>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</si>
  <si>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</si>
  <si>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</si>
  <si>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</si>
  <si>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</si>
  <si>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</si>
  <si>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</si>
  <si>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</si>
  <si>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</si>
  <si>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</si>
  <si>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</si>
  <si>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</si>
  <si>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</si>
  <si>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</si>
  <si>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</si>
  <si>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</si>
  <si>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</si>
  <si>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</si>
  <si>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</si>
  <si>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</si>
  <si>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</si>
  <si>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</si>
  <si>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</si>
  <si>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</si>
  <si>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</si>
  <si>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</si>
  <si>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</si>
  <si>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</si>
  <si>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</si>
  <si>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</si>
  <si>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</si>
  <si>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</si>
  <si>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</si>
  <si>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</si>
  <si>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</si>
  <si>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</si>
  <si>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</si>
  <si>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</si>
  <si>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</si>
  <si>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</si>
  <si>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</si>
  <si>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</si>
  <si>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</si>
  <si>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</si>
  <si>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</si>
  <si>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</si>
  <si>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</si>
  <si>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</si>
  <si>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</si>
  <si>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</si>
  <si>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</si>
  <si>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</si>
  <si>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</si>
  <si>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</si>
  <si>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</si>
  <si>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</si>
  <si>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</si>
  <si>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</si>
  <si>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</si>
  <si>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</si>
  <si>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</si>
  <si>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</si>
  <si>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</si>
  <si>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</si>
  <si>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</si>
  <si>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</si>
  <si>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</si>
  <si>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</si>
  <si>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</si>
  <si>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</si>
  <si>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</si>
  <si>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</si>
  <si>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</si>
  <si>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</si>
  <si>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</si>
  <si>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</si>
  <si>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</si>
  <si>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</si>
  <si>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</si>
  <si>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</si>
  <si>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</si>
  <si>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</si>
  <si>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</si>
  <si>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</si>
  <si>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</si>
  <si>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</si>
  <si>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</si>
  <si>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</si>
  <si>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</si>
  <si>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</si>
  <si>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</si>
  <si>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</si>
  <si>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</si>
  <si>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</si>
  <si>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</si>
  <si>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</si>
  <si>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</si>
  <si>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</si>
  <si>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</si>
  <si>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</si>
  <si>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</si>
  <si>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</si>
  <si>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</si>
  <si>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</si>
  <si>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</si>
  <si>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</si>
  <si>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</si>
  <si>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</si>
  <si>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</si>
  <si>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</si>
  <si>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</si>
  <si>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</si>
  <si>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</si>
  <si>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</si>
  <si>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</si>
  <si>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</si>
  <si>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</si>
  <si>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</si>
  <si>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</si>
  <si>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</si>
  <si>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</si>
  <si>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</si>
  <si>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</si>
  <si>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</si>
  <si>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</si>
  <si>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</si>
  <si>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</si>
  <si>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</si>
  <si>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</si>
  <si>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</si>
  <si>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</si>
  <si>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</si>
  <si>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</si>
  <si>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</si>
  <si>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</si>
  <si>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</si>
  <si>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</si>
  <si>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</si>
  <si>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</si>
  <si>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</si>
  <si>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</si>
  <si>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</si>
  <si>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</si>
  <si>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</si>
  <si>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</si>
  <si>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</si>
  <si>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</si>
  <si>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</si>
  <si>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</si>
  <si>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</si>
  <si>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</si>
  <si>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</si>
  <si>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</si>
  <si>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</si>
  <si>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</si>
  <si>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</si>
  <si>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</si>
  <si>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</si>
  <si>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</si>
  <si>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</si>
  <si>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</si>
  <si>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</si>
  <si>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</si>
  <si>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</si>
  <si>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</si>
  <si>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</si>
  <si>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</si>
  <si>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</si>
  <si>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</si>
  <si>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</si>
  <si>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</si>
  <si>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</si>
  <si>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</si>
  <si>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</si>
  <si>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</si>
  <si>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</si>
  <si>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</si>
  <si>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</si>
  <si>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</si>
  <si>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</si>
  <si>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</si>
  <si>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</si>
  <si>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</si>
  <si>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</si>
  <si>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</si>
  <si>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</si>
  <si>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</si>
  <si>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</si>
  <si>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</si>
  <si>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</si>
  <si>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</si>
  <si>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</si>
  <si>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</si>
  <si>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</si>
  <si>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</si>
  <si>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</si>
  <si>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</si>
  <si>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</si>
  <si>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</si>
  <si>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</si>
  <si>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</si>
  <si>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</si>
  <si>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</si>
  <si>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</si>
  <si>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</si>
  <si>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</si>
  <si>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</si>
  <si>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</si>
  <si>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</si>
  <si>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</si>
  <si>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</si>
  <si>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</si>
  <si>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</si>
  <si>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</si>
  <si>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</si>
  <si>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</si>
  <si>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</si>
  <si>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</si>
  <si>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</si>
  <si>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</si>
  <si>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</si>
  <si>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</si>
  <si>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</si>
  <si>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</si>
  <si>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</si>
  <si>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</si>
  <si>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</si>
  <si>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</si>
  <si>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</si>
  <si>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</si>
  <si>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</si>
  <si>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</si>
  <si>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</si>
  <si>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</si>
  <si>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</si>
  <si>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</si>
  <si>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</si>
  <si>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</si>
  <si>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</si>
  <si>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</si>
  <si>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</si>
  <si>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</si>
  <si>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</si>
  <si>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</si>
  <si>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</si>
  <si>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</si>
  <si>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</si>
  <si>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</si>
  <si>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</si>
  <si>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</si>
  <si>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</si>
  <si>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</si>
  <si>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</si>
  <si>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</si>
  <si>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</si>
  <si>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</si>
  <si>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</si>
  <si>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</si>
  <si>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</si>
  <si>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</si>
  <si>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</si>
  <si>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</si>
  <si>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</si>
  <si>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</si>
  <si>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</si>
  <si>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</si>
  <si>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</si>
  <si>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</si>
  <si>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</si>
  <si>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</si>
  <si>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</si>
  <si>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</si>
  <si>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</si>
  <si>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</si>
  <si>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</si>
  <si>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</si>
  <si>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</si>
  <si>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</si>
  <si>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</si>
  <si>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</si>
  <si>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</si>
  <si>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</si>
  <si>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</si>
  <si>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</si>
  <si>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</si>
  <si>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</si>
  <si>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</si>
  <si>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</si>
  <si>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</si>
  <si>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</si>
  <si>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</si>
  <si>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</si>
  <si>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</si>
  <si>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</si>
  <si>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</si>
  <si>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</si>
  <si>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</si>
  <si>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</si>
  <si>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</si>
  <si>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</si>
  <si>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</si>
  <si>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</si>
  <si>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</si>
  <si>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</si>
  <si>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</si>
  <si>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</si>
  <si>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</si>
  <si>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</si>
  <si>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</si>
  <si>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</si>
  <si>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</si>
  <si>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</si>
  <si>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</si>
  <si>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</si>
  <si>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</si>
  <si>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</si>
  <si>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</si>
  <si>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</si>
  <si>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</si>
  <si>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</si>
  <si>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</si>
  <si>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</si>
  <si>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</si>
  <si>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</si>
  <si>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</si>
  <si>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</si>
  <si>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</si>
  <si>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</si>
  <si>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</si>
  <si>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</si>
  <si>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</si>
  <si>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</si>
  <si>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</si>
  <si>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</si>
  <si>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</si>
  <si>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</si>
  <si>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</si>
  <si>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</si>
  <si>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</si>
  <si>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</si>
  <si>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</si>
  <si>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</si>
  <si>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</si>
  <si>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</si>
  <si>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</si>
  <si>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</si>
  <si>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</si>
  <si>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</si>
  <si>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</si>
  <si>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</si>
  <si>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</si>
  <si>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</si>
  <si>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</si>
  <si>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</si>
  <si>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</si>
  <si>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</si>
  <si>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</si>
  <si>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</si>
  <si>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</si>
  <si>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</si>
  <si>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</si>
  <si>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</si>
  <si>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</si>
  <si>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</si>
  <si>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</si>
  <si>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</si>
  <si>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</si>
  <si>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</si>
  <si>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</si>
  <si>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</si>
  <si>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</si>
  <si>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</si>
  <si>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</si>
  <si>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</si>
  <si>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</si>
  <si>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</si>
  <si>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</si>
  <si>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</si>
  <si>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</si>
  <si>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</si>
  <si>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</si>
  <si>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</si>
  <si>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</si>
  <si>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</si>
  <si>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</si>
  <si>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</si>
  <si>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</si>
  <si>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</si>
  <si>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</si>
  <si>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</si>
  <si>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</si>
  <si>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</si>
  <si>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</si>
  <si>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</si>
  <si>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</si>
  <si>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</si>
  <si>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</si>
  <si>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</si>
  <si>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</si>
  <si>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</si>
  <si>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</si>
  <si>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</si>
  <si>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</si>
  <si>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</si>
  <si>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</si>
  <si>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</si>
  <si>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</si>
  <si>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</si>
  <si>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</si>
  <si>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</si>
  <si>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</si>
  <si>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</si>
  <si>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</si>
  <si>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</si>
  <si>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</si>
  <si>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</si>
  <si>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</si>
  <si>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</si>
  <si>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</si>
  <si>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</si>
  <si>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</si>
  <si>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</si>
  <si>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</si>
  <si>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</si>
  <si>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</si>
  <si>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</si>
  <si>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</si>
  <si>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</si>
  <si>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</si>
  <si>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</si>
  <si>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</si>
  <si>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</si>
  <si>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</si>
  <si>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</si>
  <si>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</si>
  <si>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</si>
  <si>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</si>
  <si>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</si>
  <si>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</si>
  <si>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</si>
  <si>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</si>
  <si>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</si>
  <si>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</si>
  <si>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</si>
  <si>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</si>
  <si>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</si>
  <si>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</si>
  <si>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</si>
  <si>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</si>
  <si>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</si>
  <si>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</si>
  <si>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</si>
  <si>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</si>
  <si>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</si>
  <si>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</si>
  <si>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</si>
  <si>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</si>
  <si>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</si>
  <si>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</si>
  <si>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</si>
  <si>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</si>
  <si>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</si>
  <si>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</si>
  <si>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</si>
  <si>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</si>
  <si>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</si>
  <si>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</si>
  <si>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</si>
  <si>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</si>
  <si>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</si>
  <si>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</si>
  <si>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</si>
  <si>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</si>
  <si>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</si>
  <si>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</si>
  <si>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</si>
  <si>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</si>
  <si>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</si>
  <si>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</si>
  <si>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</si>
  <si>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</si>
  <si>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</si>
  <si>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</si>
  <si>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</si>
  <si>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</si>
  <si>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</si>
  <si>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</si>
  <si>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</si>
  <si>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</si>
  <si>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</si>
  <si>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</si>
  <si>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</si>
  <si>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</si>
  <si>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</si>
  <si>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</si>
  <si>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</si>
  <si>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</si>
  <si>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</si>
  <si>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</si>
  <si>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</si>
  <si>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</si>
  <si>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</si>
  <si>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</si>
  <si>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</si>
  <si>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</si>
  <si>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</si>
  <si>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</si>
  <si>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</si>
  <si>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</si>
  <si>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</si>
  <si>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</si>
  <si>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</si>
  <si>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</si>
  <si>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</si>
  <si>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</si>
  <si>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</si>
  <si>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</si>
  <si>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</si>
  <si>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</si>
  <si>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</si>
  <si>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</si>
  <si>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</si>
  <si>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</si>
  <si>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</si>
  <si>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</si>
  <si>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</si>
  <si>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</si>
  <si>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</si>
  <si>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</si>
  <si>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</si>
  <si>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</si>
  <si>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</si>
  <si>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</si>
  <si>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</si>
  <si>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</si>
  <si>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</si>
  <si>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</si>
  <si>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</si>
  <si>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</si>
  <si>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</si>
  <si>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</si>
  <si>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</si>
  <si>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</si>
  <si>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</si>
  <si>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</si>
  <si>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</si>
  <si>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</si>
  <si>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</si>
  <si>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</si>
  <si>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</si>
  <si>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</si>
  <si>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</si>
  <si>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</si>
  <si>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</si>
  <si>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</si>
  <si>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</si>
  <si>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</si>
  <si>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</si>
  <si>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</si>
  <si>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</si>
  <si>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</si>
  <si>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</si>
  <si>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</si>
  <si>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</si>
  <si>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</si>
  <si>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</si>
  <si>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</si>
  <si>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</si>
  <si>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</si>
  <si>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</si>
  <si>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</si>
  <si>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</si>
  <si>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</si>
  <si>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</si>
  <si>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</si>
  <si>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</si>
  <si>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</si>
  <si>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</si>
  <si>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</si>
  <si>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</si>
  <si>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</si>
  <si>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</si>
  <si>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</si>
  <si>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</si>
  <si>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</si>
  <si>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</si>
  <si>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</si>
  <si>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</si>
  <si>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</si>
  <si>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</si>
  <si>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</si>
  <si>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</si>
  <si>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</si>
  <si>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</si>
  <si>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</si>
  <si>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</si>
  <si>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</si>
  <si>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</si>
  <si>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</si>
  <si>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</si>
  <si>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</si>
  <si>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</si>
  <si>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</si>
  <si>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</si>
  <si>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</si>
  <si>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</si>
  <si>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</si>
  <si>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</si>
  <si>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</si>
  <si>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</si>
  <si>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</si>
  <si>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</si>
  <si>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</si>
  <si>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</si>
  <si>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</si>
  <si>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</si>
  <si>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</si>
  <si>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</si>
  <si>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</si>
  <si>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</si>
  <si>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</si>
  <si>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</si>
  <si>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</si>
  <si>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</si>
  <si>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</si>
  <si>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</si>
  <si>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</si>
  <si>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</si>
  <si>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</si>
  <si>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</si>
  <si>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</si>
  <si>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</si>
  <si>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</si>
  <si>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</si>
  <si>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</si>
  <si>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</si>
  <si>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</si>
  <si>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</si>
  <si>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</si>
  <si>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</si>
  <si>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</si>
  <si>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</si>
  <si>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</si>
  <si>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</si>
  <si>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</si>
  <si>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</si>
  <si>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</si>
  <si>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</si>
  <si>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</si>
  <si>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</si>
  <si>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</si>
  <si>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</si>
  <si>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</si>
  <si>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</si>
  <si>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</si>
  <si>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</si>
  <si>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</si>
  <si>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</si>
  <si>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</si>
  <si>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</si>
  <si>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</si>
  <si>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</si>
  <si>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</si>
  <si>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</si>
  <si>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</si>
  <si>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</si>
  <si>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</si>
  <si>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</si>
  <si>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</si>
  <si>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</si>
  <si>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</si>
  <si>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</si>
  <si>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</si>
  <si>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</si>
  <si>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</si>
  <si>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</si>
  <si>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</si>
  <si>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</si>
  <si>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</si>
  <si>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</si>
  <si>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</si>
  <si>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</si>
  <si>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</si>
  <si>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</si>
  <si>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</si>
  <si>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</si>
  <si>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</si>
  <si>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</si>
  <si>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</si>
  <si>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</si>
  <si>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</si>
  <si>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</si>
  <si>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</si>
  <si>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</si>
  <si>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</si>
  <si>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</si>
  <si>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</si>
  <si>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</si>
  <si>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</si>
  <si>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</si>
  <si>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</si>
  <si>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</si>
  <si>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</si>
  <si>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</si>
  <si>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</si>
  <si>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</si>
  <si>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</si>
  <si>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</si>
  <si>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</si>
  <si>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</si>
  <si>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</si>
  <si>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</si>
  <si>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</si>
  <si>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</si>
  <si>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</si>
  <si>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</si>
  <si>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</si>
  <si>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</si>
  <si>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</si>
  <si>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</si>
  <si>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</si>
  <si>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</si>
  <si>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</si>
  <si>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</si>
  <si>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</si>
  <si>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</si>
  <si>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</si>
  <si>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</si>
  <si>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</si>
  <si>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</si>
  <si>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</si>
  <si>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</si>
  <si>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</si>
  <si>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</si>
  <si>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</si>
  <si>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</si>
  <si>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</si>
  <si>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</si>
  <si>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</si>
  <si>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</si>
  <si>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</si>
  <si>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</si>
  <si>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</si>
  <si>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</si>
  <si>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</si>
  <si>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</si>
  <si>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</si>
  <si>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</si>
  <si>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</si>
  <si>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</si>
  <si>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</si>
  <si>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</si>
  <si>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</si>
  <si>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</si>
  <si>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</si>
  <si>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</si>
  <si>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</si>
  <si>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</si>
  <si>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</si>
  <si>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</si>
  <si>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</si>
  <si>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</si>
  <si>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</si>
  <si>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</si>
  <si>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</si>
  <si>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</si>
  <si>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</si>
  <si>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</si>
  <si>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</si>
  <si>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</si>
  <si>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</si>
  <si>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</si>
  <si>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</si>
  <si>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</si>
  <si>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</si>
  <si>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</si>
  <si>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</si>
  <si>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</si>
  <si>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</si>
  <si>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</si>
  <si>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</si>
  <si>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</si>
  <si>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</si>
  <si>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</si>
  <si>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</si>
  <si>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</si>
  <si>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</si>
  <si>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</si>
  <si>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</si>
  <si>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</si>
  <si>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</si>
  <si>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</si>
  <si>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</si>
  <si>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</si>
  <si>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</si>
  <si>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</si>
  <si>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</si>
  <si>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</si>
  <si>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</si>
  <si>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</si>
  <si>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</si>
  <si>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</si>
  <si>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</si>
  <si>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</si>
  <si>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</si>
  <si>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</si>
  <si>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</si>
  <si>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</si>
  <si>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</si>
  <si>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</si>
  <si>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</si>
  <si>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</si>
  <si>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</si>
  <si>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</si>
  <si>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</si>
  <si>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</si>
  <si>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</si>
  <si>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</si>
  <si>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</si>
  <si>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</si>
  <si>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</si>
  <si>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</si>
  <si>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</si>
  <si>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</si>
  <si>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</si>
  <si>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</si>
  <si>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</si>
  <si>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</si>
  <si>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</si>
  <si>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</si>
  <si>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</si>
  <si>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</si>
  <si>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</si>
  <si>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</si>
  <si>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</si>
  <si>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</si>
  <si>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</si>
  <si>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</si>
  <si>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</si>
  <si>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</si>
  <si>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</si>
  <si>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</si>
  <si>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</si>
  <si>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</si>
  <si>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</si>
  <si>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</si>
  <si>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</si>
  <si>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</si>
  <si>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</si>
  <si>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</si>
  <si>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</si>
  <si>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</si>
  <si>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</si>
  <si>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</si>
  <si>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</si>
  <si>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</si>
  <si>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</si>
  <si>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</si>
  <si>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</si>
  <si>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</si>
  <si>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</si>
  <si>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</si>
  <si>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</si>
  <si>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</si>
  <si>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</si>
  <si>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</si>
  <si>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</si>
  <si>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</si>
  <si>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</si>
  <si>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</si>
  <si>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</si>
  <si>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</si>
  <si>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</si>
  <si>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</si>
  <si>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</si>
  <si>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</si>
  <si>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</si>
  <si>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</si>
  <si>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</si>
  <si>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</si>
  <si>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</si>
  <si>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</si>
  <si>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</si>
  <si>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</si>
  <si>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</si>
  <si>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</si>
  <si>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</si>
  <si>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</si>
  <si>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</si>
  <si>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</si>
  <si>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</si>
  <si>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</si>
  <si>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</si>
  <si>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</si>
  <si>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</si>
  <si>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</si>
  <si>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</si>
  <si>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</si>
  <si>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</si>
  <si>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</si>
  <si>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</si>
  <si>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</si>
  <si>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</si>
  <si>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</si>
  <si>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</si>
  <si>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</si>
  <si>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</si>
  <si>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</si>
  <si>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</si>
  <si>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</si>
  <si>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</si>
  <si>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</si>
  <si>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</si>
  <si>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</si>
  <si>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</si>
  <si>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</si>
  <si>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</si>
  <si>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</si>
  <si>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</si>
  <si>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</si>
  <si>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</si>
  <si>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</si>
  <si>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</si>
  <si>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</si>
  <si>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</si>
  <si>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</si>
  <si>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</si>
  <si>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</si>
  <si>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</si>
  <si>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</si>
  <si>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</si>
  <si>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</si>
  <si>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</si>
  <si>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</si>
  <si>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</si>
  <si>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</si>
  <si>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</si>
  <si>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</si>
  <si>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</si>
  <si>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</si>
  <si>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</si>
  <si>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</si>
  <si>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</si>
  <si>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</si>
  <si>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</si>
  <si>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</si>
  <si>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</si>
  <si>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</si>
  <si>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</si>
  <si>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</si>
  <si>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</si>
  <si>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</si>
  <si>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</si>
  <si>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</si>
  <si>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</si>
  <si>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</si>
  <si>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</si>
  <si>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</si>
  <si>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</si>
  <si>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</si>
  <si>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</si>
  <si>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</si>
  <si>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</si>
  <si>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</si>
  <si>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</si>
  <si>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</si>
  <si>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</si>
  <si>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</si>
  <si>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</si>
  <si>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</si>
  <si>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</si>
  <si>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</si>
  <si>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</si>
  <si>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</si>
  <si>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</si>
  <si>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</si>
  <si>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</si>
  <si>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</si>
  <si>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</si>
  <si>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</si>
  <si>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</si>
  <si>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</si>
  <si>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</si>
  <si>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</si>
  <si>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</si>
  <si>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</si>
  <si>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</si>
  <si>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</si>
  <si>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</si>
  <si>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</si>
  <si>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</si>
  <si>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</si>
  <si>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</si>
  <si>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</si>
  <si>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</si>
  <si>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</si>
  <si>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</si>
  <si>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</si>
  <si>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</si>
  <si>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</si>
  <si>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</si>
  <si>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</si>
  <si>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</si>
  <si>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</si>
  <si>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</si>
  <si>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</si>
  <si>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</si>
  <si>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</si>
  <si>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</si>
  <si>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</si>
  <si>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</si>
  <si>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</si>
  <si>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</si>
  <si>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</si>
  <si>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</si>
  <si>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</si>
  <si>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</si>
  <si>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</si>
  <si>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</si>
  <si>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</si>
  <si>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</si>
  <si>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</si>
  <si>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</si>
  <si>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</si>
  <si>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</si>
  <si>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</si>
  <si>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</si>
  <si>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</si>
  <si>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</si>
  <si>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</si>
  <si>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</si>
  <si>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</si>
  <si>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</si>
  <si>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</si>
  <si>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</si>
  <si>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</si>
  <si>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</si>
  <si>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</si>
  <si>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</si>
  <si>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</si>
  <si>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</si>
  <si>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</si>
  <si>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</si>
  <si>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</si>
  <si>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</si>
  <si>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</si>
  <si>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</si>
  <si>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</si>
  <si>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</si>
  <si>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</si>
  <si>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</si>
  <si>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</si>
  <si>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</si>
  <si>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</si>
  <si>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</si>
  <si>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</si>
  <si>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</si>
  <si>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</si>
  <si>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</si>
  <si>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</si>
  <si>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</si>
  <si>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</si>
  <si>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</si>
  <si>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</si>
  <si>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</si>
  <si>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</si>
  <si>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</si>
  <si>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</si>
  <si>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</si>
  <si>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</si>
  <si>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</si>
  <si>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</si>
  <si>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</si>
  <si>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</si>
  <si>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</si>
  <si>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</si>
  <si>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</si>
  <si>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</si>
  <si>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</si>
  <si>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</si>
  <si>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</si>
  <si>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</si>
  <si>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</si>
  <si>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</si>
  <si>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</si>
  <si>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</si>
  <si>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</si>
  <si>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</si>
  <si>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</si>
  <si>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</si>
  <si>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</si>
  <si>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</si>
  <si>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</si>
  <si>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</si>
  <si>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</si>
  <si>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</si>
  <si>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</si>
  <si>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</si>
  <si>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</si>
  <si>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</si>
  <si>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</si>
  <si>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</si>
  <si>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</si>
  <si>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</si>
  <si>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</si>
  <si>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</si>
  <si>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</si>
  <si>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</si>
  <si>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</si>
  <si>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</si>
  <si>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</si>
  <si>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</si>
  <si>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</si>
  <si>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</si>
  <si>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</si>
  <si>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</si>
  <si>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</si>
  <si>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</si>
  <si>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</si>
  <si>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</si>
  <si>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</si>
  <si>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</si>
  <si>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</si>
  <si>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</si>
  <si>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</si>
  <si>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</si>
  <si>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</si>
  <si>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</si>
  <si>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</si>
  <si>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</si>
  <si>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</si>
  <si>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</si>
  <si>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</si>
  <si>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</si>
  <si>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</si>
  <si>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</si>
  <si>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</si>
  <si>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</si>
  <si>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</si>
  <si>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</si>
  <si>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</si>
  <si>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</si>
  <si>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</si>
  <si>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</si>
  <si>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</si>
  <si>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</si>
  <si>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</si>
  <si>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</si>
  <si>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</si>
  <si>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</si>
  <si>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</si>
  <si>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</si>
  <si>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</si>
  <si>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</si>
  <si>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</si>
  <si>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</si>
  <si>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</si>
  <si>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</si>
  <si>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</si>
  <si>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</si>
  <si>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</si>
  <si>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</si>
  <si>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</si>
  <si>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</si>
  <si>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</si>
  <si>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</si>
  <si>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</si>
  <si>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</si>
  <si>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</si>
  <si>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</si>
  <si>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</si>
  <si>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</si>
  <si>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</si>
  <si>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</si>
  <si>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</si>
  <si>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</si>
  <si>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</si>
  <si>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</si>
  <si>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</si>
  <si>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</si>
  <si>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</si>
  <si>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</si>
  <si>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</si>
  <si>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</si>
  <si>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</si>
  <si>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</si>
  <si>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</si>
  <si>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</si>
  <si>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</si>
  <si>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</si>
  <si>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</si>
  <si>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</si>
  <si>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</si>
  <si>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</si>
  <si>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</si>
  <si>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</si>
  <si>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</si>
  <si>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</si>
  <si>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</si>
  <si>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</si>
  <si>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</si>
  <si>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</si>
  <si>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</si>
  <si>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</si>
  <si>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</si>
  <si>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</si>
  <si>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</si>
  <si>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</si>
  <si>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</si>
  <si>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</si>
  <si>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</si>
  <si>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</si>
  <si>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</si>
  <si>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</si>
  <si>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</si>
  <si>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</si>
  <si>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</si>
  <si>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</si>
  <si>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</si>
  <si>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</si>
  <si>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</si>
  <si>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</si>
  <si>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</si>
  <si>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</si>
  <si>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</si>
  <si>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</si>
  <si>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</si>
  <si>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</si>
  <si>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</si>
  <si>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</si>
  <si>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</si>
  <si>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</si>
  <si>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</si>
  <si>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</si>
  <si>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</si>
  <si>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</si>
  <si>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</si>
  <si>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</si>
  <si>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</si>
  <si>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</si>
  <si>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</si>
  <si>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</si>
  <si>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</si>
  <si>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</si>
  <si>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</si>
  <si>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</si>
  <si>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</si>
  <si>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</si>
  <si>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</si>
  <si>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</si>
  <si>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</si>
  <si>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</si>
  <si>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</si>
  <si>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</si>
  <si>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</si>
  <si>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</si>
  <si>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</si>
  <si>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</si>
  <si>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</si>
  <si>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</si>
  <si>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</si>
  <si>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</si>
  <si>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</si>
  <si>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</si>
  <si>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</si>
  <si>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</si>
  <si>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</si>
  <si>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</si>
  <si>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</si>
  <si>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</si>
  <si>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</si>
  <si>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</si>
  <si>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</si>
  <si>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</si>
  <si>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</si>
  <si>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</si>
  <si>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</si>
  <si>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</si>
  <si>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</si>
  <si>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</si>
  <si>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</si>
  <si>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</si>
  <si>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</si>
  <si>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</si>
  <si>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</si>
  <si>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</si>
  <si>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</si>
  <si>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</si>
  <si>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</si>
  <si>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</si>
  <si>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</si>
  <si>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</si>
  <si>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</si>
  <si>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</si>
  <si>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</si>
  <si>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</si>
  <si>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</si>
  <si>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</si>
  <si>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</si>
  <si>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</si>
  <si>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</si>
  <si>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</si>
  <si>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</si>
  <si>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</si>
  <si>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</si>
  <si>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</si>
  <si>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</si>
  <si>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</si>
  <si>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</si>
  <si>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</si>
  <si>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</si>
  <si>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</si>
  <si>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</si>
  <si>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</si>
  <si>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</si>
  <si>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</si>
  <si>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</si>
  <si>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</si>
  <si>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</si>
  <si>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</si>
  <si>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</si>
  <si>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</si>
  <si>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</si>
  <si>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</si>
  <si>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</si>
  <si>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</si>
  <si>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</si>
  <si>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</si>
  <si>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</si>
  <si>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</si>
  <si>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</si>
  <si>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</si>
  <si>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</si>
  <si>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</si>
  <si>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</si>
  <si>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</si>
  <si>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</si>
  <si>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</si>
  <si>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</si>
  <si>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</si>
  <si>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</si>
  <si>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</si>
  <si>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</si>
  <si>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</si>
  <si>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</si>
  <si>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</si>
  <si>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</si>
  <si>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</si>
  <si>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</si>
  <si>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</si>
  <si>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</si>
  <si>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</si>
  <si>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</si>
  <si>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</si>
  <si>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</si>
  <si>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</si>
  <si>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</si>
  <si>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</si>
  <si>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</si>
  <si>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</si>
  <si>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</si>
  <si>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</si>
  <si>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</si>
  <si>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</si>
  <si>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</si>
  <si>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</si>
  <si>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</si>
  <si>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</si>
  <si>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</si>
  <si>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</si>
  <si>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</si>
  <si>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</si>
  <si>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</si>
  <si>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</si>
  <si>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</si>
  <si>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</si>
  <si>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</si>
  <si>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</si>
  <si>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</si>
  <si>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</si>
  <si>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</si>
  <si>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</si>
  <si>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</si>
  <si>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</si>
  <si>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</si>
  <si>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</si>
  <si>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</si>
  <si>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</si>
  <si>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</si>
  <si>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</si>
  <si>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</si>
  <si>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</si>
  <si>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</si>
  <si>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</si>
  <si>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</si>
  <si>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</si>
  <si>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</si>
  <si>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</si>
  <si>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</si>
  <si>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</si>
  <si>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</si>
  <si>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</si>
  <si>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</si>
  <si>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</si>
  <si>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</si>
  <si>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</si>
  <si>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</si>
  <si>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</si>
  <si>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</si>
  <si>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</si>
  <si>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</si>
  <si>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</si>
  <si>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</si>
  <si>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</si>
  <si>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</si>
  <si>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</si>
  <si>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</si>
  <si>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</si>
  <si>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</si>
  <si>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</si>
  <si>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</si>
  <si>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</si>
  <si>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</si>
  <si>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</si>
  <si>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</si>
  <si>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</si>
  <si>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</si>
  <si>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</si>
  <si>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</si>
  <si>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</si>
  <si>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</si>
  <si>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</si>
  <si>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</si>
  <si>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</si>
  <si>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</si>
  <si>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</si>
  <si>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</si>
  <si>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</si>
  <si>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</si>
  <si>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</si>
  <si>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</si>
  <si>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</si>
  <si>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</si>
  <si>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</si>
  <si>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</si>
  <si>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</si>
  <si>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</si>
  <si>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</si>
  <si>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</si>
  <si>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</si>
  <si>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</si>
  <si>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</si>
  <si>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</si>
  <si>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</si>
  <si>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</si>
  <si>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</si>
  <si>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</si>
  <si>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</si>
  <si>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</si>
  <si>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</si>
  <si>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</si>
  <si>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</si>
  <si>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</si>
  <si>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</si>
  <si>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</si>
  <si>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</si>
  <si>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</si>
  <si>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</si>
  <si>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</si>
  <si>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</si>
  <si>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</si>
  <si>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</si>
  <si>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</si>
  <si>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</si>
  <si>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</si>
  <si>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</si>
  <si>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</si>
  <si>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</si>
  <si>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</si>
  <si>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</si>
  <si>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</si>
  <si>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</si>
  <si>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</si>
  <si>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</si>
  <si>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</si>
  <si>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</si>
  <si>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</si>
  <si>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</si>
  <si>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</si>
  <si>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</si>
  <si>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</si>
  <si>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</si>
  <si>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</si>
  <si>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</si>
  <si>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</si>
  <si>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</si>
  <si>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</si>
  <si>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</si>
  <si>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</si>
  <si>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</si>
  <si>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</si>
  <si>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</si>
  <si>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</si>
  <si>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</si>
  <si>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</si>
  <si>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</si>
  <si>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</si>
  <si>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</si>
  <si>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</si>
  <si>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</si>
  <si>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</si>
  <si>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</si>
  <si>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</si>
  <si>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</si>
  <si>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</si>
  <si>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</si>
  <si>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</si>
  <si>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</si>
  <si>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</si>
  <si>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</si>
  <si>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</si>
  <si>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</si>
  <si>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</si>
  <si>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</si>
  <si>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</si>
  <si>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</si>
  <si>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</si>
  <si>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</si>
  <si>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</si>
  <si>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</si>
  <si>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</si>
  <si>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</si>
  <si>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</si>
  <si>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</si>
  <si>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</si>
  <si>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</si>
  <si>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</si>
  <si>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</si>
  <si>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</si>
  <si>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</si>
  <si>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</si>
  <si>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</si>
  <si>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</si>
  <si>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</si>
  <si>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</si>
  <si>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</si>
  <si>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</si>
  <si>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</si>
  <si>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</si>
  <si>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</si>
  <si>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</si>
  <si>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</si>
  <si>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</si>
  <si>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</si>
  <si>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</si>
  <si>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</si>
  <si>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</si>
  <si>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</si>
  <si>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</si>
  <si>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</si>
  <si>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</si>
  <si>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</si>
  <si>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</si>
  <si>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</si>
  <si>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</si>
  <si>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</si>
  <si>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</si>
  <si>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</si>
  <si>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</si>
  <si>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</si>
  <si>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</si>
  <si>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</si>
  <si>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</si>
  <si>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</si>
  <si>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</si>
  <si>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</si>
  <si>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</si>
  <si>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</si>
  <si>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</si>
  <si>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</si>
  <si>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</si>
  <si>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</si>
  <si>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</si>
  <si>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</si>
  <si>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</si>
  <si>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</si>
  <si>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</si>
  <si>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</si>
  <si>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</si>
  <si>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</si>
  <si>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</si>
  <si>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</si>
  <si>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</si>
  <si>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</si>
  <si>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</si>
  <si>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</si>
  <si>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</si>
  <si>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</si>
  <si>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</si>
  <si>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</si>
  <si>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</si>
  <si>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</si>
  <si>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</si>
  <si>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</si>
  <si>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</si>
  <si>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</si>
  <si>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</si>
  <si>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</si>
  <si>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</si>
  <si>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</si>
  <si>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</si>
  <si>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</si>
  <si>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</si>
  <si>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</si>
  <si>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</si>
  <si>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</si>
  <si>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</si>
  <si>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</si>
  <si>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</si>
  <si>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</si>
  <si>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</si>
  <si>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</si>
  <si>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</si>
  <si>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</si>
  <si>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</si>
  <si>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</si>
  <si>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</si>
  <si>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</si>
  <si>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</si>
  <si>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</si>
  <si>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</si>
  <si>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</si>
  <si>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</si>
  <si>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</si>
  <si>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</si>
  <si>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</si>
  <si>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</si>
  <si>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</si>
  <si>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</si>
  <si>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</si>
  <si>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</si>
  <si>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</si>
  <si>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</si>
  <si>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</si>
  <si>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</si>
  <si>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</si>
  <si>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</si>
  <si>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</si>
  <si>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</si>
  <si>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</si>
  <si>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</si>
  <si>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</si>
  <si>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</si>
  <si>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</si>
  <si>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</si>
  <si>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</si>
  <si>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</si>
  <si>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</si>
  <si>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</si>
  <si>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</si>
  <si>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</si>
  <si>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</si>
  <si>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</si>
  <si>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</si>
  <si>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</si>
  <si>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</si>
  <si>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</si>
  <si>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</si>
  <si>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</si>
  <si>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</si>
  <si>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</si>
  <si>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</si>
  <si>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</si>
  <si>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</si>
  <si>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</si>
  <si>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</si>
  <si>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</si>
  <si>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</si>
  <si>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</si>
  <si>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</si>
  <si>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</si>
  <si>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</si>
  <si>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</si>
  <si>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</si>
  <si>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</si>
  <si>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</si>
  <si>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</si>
  <si>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</si>
  <si>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</si>
  <si>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</si>
  <si>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</si>
  <si>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</si>
  <si>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</si>
  <si>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</si>
  <si>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</si>
  <si>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</si>
  <si>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</si>
  <si>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</si>
  <si>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</si>
  <si>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</si>
  <si>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</si>
  <si>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</si>
  <si>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</si>
  <si>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</si>
  <si>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</si>
  <si>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</si>
  <si>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</si>
  <si>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</si>
  <si>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</si>
  <si>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</si>
  <si>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</si>
  <si>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</si>
  <si>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</si>
  <si>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</si>
  <si>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</si>
  <si>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</si>
  <si>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</si>
  <si>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</si>
  <si>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</si>
  <si>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</si>
  <si>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</si>
  <si>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</si>
  <si>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</si>
  <si>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</si>
  <si>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</si>
  <si>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</si>
  <si>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</si>
  <si>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</si>
  <si>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</si>
  <si>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</si>
  <si>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</si>
  <si>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</si>
  <si>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</si>
  <si>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</si>
  <si>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</si>
  <si>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</si>
  <si>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</si>
  <si>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</si>
  <si>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</si>
  <si>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</si>
  <si>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</si>
  <si>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</si>
  <si>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</si>
  <si>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</si>
  <si>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</si>
  <si>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</si>
  <si>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</si>
  <si>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</si>
  <si>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</si>
  <si>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</si>
  <si>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</si>
  <si>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</si>
  <si>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</si>
  <si>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</si>
  <si>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</si>
  <si>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</si>
  <si>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</si>
  <si>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</si>
  <si>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</si>
  <si>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</si>
  <si>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</si>
  <si>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</si>
  <si>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</si>
  <si>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</si>
  <si>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</si>
  <si>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</si>
  <si>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</si>
  <si>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</si>
  <si>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</si>
  <si>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</si>
  <si>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</si>
  <si>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</si>
  <si>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</si>
  <si>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</si>
  <si>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</si>
  <si>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</si>
  <si>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</si>
  <si>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</si>
  <si>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</si>
  <si>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</si>
  <si>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</si>
  <si>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</si>
  <si>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</si>
  <si>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</si>
  <si>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</si>
  <si>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</si>
  <si>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</si>
  <si>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</si>
  <si>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</si>
  <si>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</si>
  <si>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</si>
  <si>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</si>
  <si>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</si>
  <si>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</si>
  <si>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</si>
  <si>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</si>
  <si>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</si>
  <si>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</si>
  <si>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</si>
  <si>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</si>
  <si>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</si>
  <si>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</si>
  <si>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</si>
  <si>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</si>
  <si>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</si>
  <si>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</si>
  <si>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</si>
  <si>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</si>
  <si>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</si>
  <si>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</si>
  <si>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</si>
  <si>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</si>
  <si>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</si>
  <si>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</si>
  <si>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</si>
  <si>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</si>
  <si>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</si>
  <si>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</si>
  <si>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</si>
  <si>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</si>
  <si>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</si>
  <si>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</si>
  <si>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</si>
  <si>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</si>
  <si>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</si>
  <si>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</si>
  <si>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</si>
  <si>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</si>
  <si>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</si>
  <si>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</si>
  <si>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</si>
  <si>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</si>
  <si>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</si>
  <si>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</si>
  <si>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</si>
  <si>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</si>
  <si>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</si>
  <si>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</si>
  <si>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</si>
  <si>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</si>
  <si>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</si>
  <si>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</si>
  <si>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</si>
  <si>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</si>
  <si>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</si>
  <si>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</si>
  <si>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</si>
  <si>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</si>
  <si>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</si>
  <si>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</si>
  <si>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</si>
  <si>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</si>
  <si>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</si>
  <si>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</si>
  <si>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</si>
  <si>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</si>
  <si>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</si>
  <si>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</si>
  <si>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</si>
  <si>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</si>
  <si>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</si>
  <si>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</si>
  <si>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</si>
  <si>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</si>
  <si>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</si>
  <si>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</si>
  <si>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</si>
  <si>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</si>
  <si>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</si>
  <si>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</si>
  <si>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</si>
  <si>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</si>
  <si>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</si>
  <si>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</si>
  <si>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</si>
  <si>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</si>
  <si>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</si>
  <si>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</si>
  <si>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</si>
  <si>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</si>
  <si>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</si>
  <si>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</si>
  <si>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</si>
  <si>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</si>
  <si>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</si>
  <si>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</si>
  <si>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</si>
  <si>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</si>
  <si>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</si>
  <si>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</si>
  <si>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</si>
  <si>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</si>
  <si>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</si>
  <si>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</si>
  <si>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</si>
  <si>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</si>
  <si>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</si>
  <si>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</si>
  <si>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</si>
  <si>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</si>
  <si>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</si>
  <si>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</si>
  <si>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</si>
  <si>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</si>
  <si>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</si>
  <si>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</si>
  <si>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</si>
  <si>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</si>
  <si>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</si>
  <si>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</si>
  <si>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</si>
  <si>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</si>
  <si>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</si>
  <si>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</si>
  <si>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</si>
  <si>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</si>
  <si>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</si>
  <si>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</si>
  <si>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</si>
  <si>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</si>
  <si>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</si>
  <si>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</si>
  <si>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</si>
  <si>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</si>
  <si>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</si>
  <si>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</si>
  <si>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</si>
  <si>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</si>
  <si>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</si>
  <si>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</si>
  <si>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</si>
  <si>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</si>
  <si>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</si>
  <si>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</si>
  <si>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</si>
  <si>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</si>
  <si>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</si>
  <si>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</si>
  <si>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</si>
  <si>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</si>
  <si>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</si>
  <si>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</si>
  <si>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</si>
  <si>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</si>
  <si>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</si>
  <si>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</si>
  <si>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</si>
  <si>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</si>
  <si>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</si>
  <si>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</si>
  <si>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</si>
  <si>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</si>
  <si>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</si>
  <si>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</si>
  <si>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</si>
  <si>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</si>
  <si>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</si>
  <si>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</si>
  <si>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</si>
  <si>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</si>
  <si>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</si>
  <si>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</si>
  <si>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</si>
  <si>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</si>
  <si>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</si>
  <si>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</si>
  <si>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</si>
  <si>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</si>
  <si>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</si>
  <si>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</si>
  <si>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</si>
  <si>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</si>
  <si>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</si>
  <si>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</si>
  <si>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</si>
  <si>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</si>
  <si>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</si>
  <si>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</si>
  <si>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</si>
  <si>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</si>
  <si>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</si>
  <si>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</si>
  <si>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</si>
  <si>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</si>
  <si>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</si>
  <si>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</si>
  <si>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</si>
  <si>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</si>
  <si>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</si>
  <si>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</si>
  <si>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</si>
  <si>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</si>
  <si>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</si>
  <si>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</si>
  <si>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</si>
  <si>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</si>
  <si>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</si>
  <si>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</si>
  <si>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</si>
  <si>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</si>
  <si>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</si>
  <si>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</si>
  <si>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</si>
  <si>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</si>
  <si>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</si>
  <si>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</si>
  <si>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</si>
  <si>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</si>
  <si>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</si>
  <si>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</si>
  <si>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</si>
  <si>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</si>
  <si>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</si>
  <si>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</si>
  <si>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</si>
  <si>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</si>
  <si>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</si>
  <si>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</si>
  <si>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</si>
  <si>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</si>
  <si>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</si>
  <si>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</si>
  <si>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</si>
  <si>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</si>
  <si>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</si>
  <si>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</si>
  <si>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</si>
  <si>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</si>
  <si>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</si>
  <si>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</si>
  <si>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</si>
  <si>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</si>
  <si>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</si>
  <si>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</si>
  <si>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</si>
  <si>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</si>
  <si>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</si>
  <si>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</si>
  <si>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</si>
  <si>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</si>
  <si>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</si>
  <si>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</si>
  <si>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</si>
  <si>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</si>
  <si>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</si>
  <si>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</si>
  <si>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</si>
  <si>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</si>
  <si>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</si>
  <si>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</si>
  <si>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</si>
  <si>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</si>
  <si>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</si>
  <si>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</si>
  <si>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</si>
  <si>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</si>
  <si>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</si>
  <si>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</si>
  <si>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</si>
  <si>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</si>
  <si>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</si>
  <si>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</si>
  <si>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</si>
  <si>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</si>
  <si>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</si>
  <si>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</si>
  <si>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</si>
  <si>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</si>
  <si>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</si>
  <si>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</si>
  <si>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</si>
  <si>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</si>
  <si>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</si>
  <si>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</si>
  <si>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</si>
  <si>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</si>
  <si>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</si>
  <si>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</si>
  <si>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</si>
  <si>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</si>
  <si>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</si>
  <si>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</si>
  <si>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</si>
  <si>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</si>
  <si>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</si>
  <si>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</si>
  <si>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</si>
  <si>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</si>
  <si>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</si>
  <si>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</si>
  <si>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</si>
  <si>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</si>
  <si>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</si>
  <si>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</si>
  <si>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</si>
  <si>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</si>
  <si>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</si>
  <si>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</si>
  <si>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</si>
  <si>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</si>
  <si>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</si>
  <si>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</si>
  <si>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</si>
  <si>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</si>
  <si>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</si>
  <si>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</si>
  <si>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</si>
  <si>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</si>
  <si>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</si>
  <si>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</si>
  <si>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</si>
  <si>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</si>
  <si>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</si>
  <si>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</si>
  <si>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</si>
  <si>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</si>
  <si>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</si>
  <si>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</si>
  <si>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</si>
  <si>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</si>
  <si>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</si>
  <si>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</si>
  <si>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</si>
  <si>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</si>
  <si>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</si>
  <si>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</si>
  <si>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</si>
  <si>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</si>
  <si>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</si>
  <si>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</si>
  <si>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</si>
  <si>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</si>
  <si>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</si>
  <si>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</si>
  <si>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</si>
  <si>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</si>
  <si>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</si>
  <si>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</si>
  <si>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</si>
  <si>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</si>
  <si>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</si>
  <si>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</si>
  <si>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</si>
  <si>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</si>
  <si>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</si>
  <si>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</si>
  <si>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</si>
  <si>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</si>
  <si>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</si>
  <si>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</si>
  <si>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</si>
  <si>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</si>
  <si>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</si>
  <si>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</si>
  <si>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</si>
  <si>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</si>
  <si>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</si>
  <si>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</si>
  <si>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</si>
  <si>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</si>
  <si>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</si>
  <si>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</si>
  <si>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</si>
  <si>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</si>
  <si>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</si>
  <si>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</si>
  <si>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</si>
  <si>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</si>
  <si>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</si>
  <si>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</si>
  <si>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</si>
  <si>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</si>
  <si>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</si>
  <si>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</si>
  <si>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</si>
  <si>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</si>
  <si>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</si>
  <si>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</si>
  <si>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</si>
  <si>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</si>
  <si>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</si>
  <si>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</si>
  <si>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</si>
  <si>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</si>
  <si>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</si>
  <si>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</si>
  <si>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</si>
  <si>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</si>
  <si>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</si>
  <si>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</si>
  <si>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</si>
  <si>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</si>
  <si>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</si>
  <si>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</si>
  <si>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</si>
  <si>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</si>
  <si>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</si>
  <si>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</si>
  <si>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</si>
  <si>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</si>
  <si>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</si>
  <si>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</si>
  <si>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</si>
  <si>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</si>
  <si>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</si>
  <si>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</si>
  <si>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</si>
  <si>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</si>
  <si>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</si>
  <si>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</si>
  <si>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</si>
  <si>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</si>
  <si>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</si>
  <si>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</si>
  <si>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</si>
  <si>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</si>
  <si>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</si>
  <si>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</si>
  <si>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</si>
  <si>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</si>
  <si>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</si>
  <si>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</si>
  <si>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</si>
  <si>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</si>
  <si>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</si>
  <si>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</si>
  <si>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</si>
  <si>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</si>
  <si>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</si>
  <si>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</si>
  <si>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</si>
  <si>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</si>
  <si>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</si>
  <si>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</si>
  <si>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</si>
  <si>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</si>
  <si>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</si>
  <si>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</si>
  <si>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</si>
  <si>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</si>
  <si>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</si>
  <si>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</si>
  <si>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</si>
  <si>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</si>
  <si>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</si>
  <si>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</si>
  <si>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</si>
  <si>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</si>
  <si>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</si>
  <si>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</si>
  <si>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</si>
  <si>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</si>
  <si>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</si>
  <si>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</si>
  <si>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</si>
  <si>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</si>
  <si>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</si>
  <si>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</si>
  <si>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</si>
  <si>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</si>
  <si>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</si>
  <si>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</si>
  <si>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</si>
  <si>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</si>
  <si>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</si>
  <si>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</si>
  <si>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</si>
  <si>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</si>
  <si>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</si>
  <si>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</si>
  <si>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</si>
  <si>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</si>
  <si>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</si>
  <si>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</si>
  <si>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</si>
  <si>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</si>
  <si>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</si>
  <si>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</si>
  <si>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</si>
  <si>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</si>
  <si>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</si>
  <si>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</si>
  <si>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</si>
  <si>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</si>
  <si>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</si>
  <si>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</si>
  <si>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</si>
  <si>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</si>
  <si>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</si>
  <si>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</si>
  <si>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</si>
  <si>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</si>
  <si>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</si>
  <si>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</si>
  <si>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</si>
  <si>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</si>
  <si>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</si>
  <si>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</si>
  <si>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</si>
  <si>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</si>
  <si>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</si>
  <si>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</si>
  <si>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</si>
  <si>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</si>
  <si>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</si>
  <si>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</si>
  <si>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</si>
  <si>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</si>
  <si>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</si>
  <si>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</si>
  <si>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</si>
  <si>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</si>
  <si>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</si>
  <si>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</si>
  <si>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</si>
  <si>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</si>
  <si>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</si>
  <si>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</si>
  <si>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</si>
  <si>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</si>
  <si>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</si>
  <si>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</si>
  <si>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</si>
  <si>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</si>
  <si>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</si>
  <si>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</si>
  <si>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</si>
  <si>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</si>
  <si>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</si>
  <si>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</si>
  <si>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</si>
  <si>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</si>
  <si>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</si>
  <si>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</si>
  <si>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</si>
  <si>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</si>
  <si>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</si>
  <si>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</si>
  <si>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</si>
  <si>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</si>
  <si>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</si>
  <si>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</si>
  <si>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</si>
  <si>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</si>
  <si>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</si>
  <si>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</si>
  <si>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</si>
  <si>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</si>
  <si>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</si>
  <si>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</si>
  <si>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</si>
  <si>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</si>
  <si>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</si>
  <si>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</si>
  <si>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</si>
  <si>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</si>
  <si>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</si>
  <si>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</si>
  <si>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</si>
  <si>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</si>
  <si>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</si>
  <si>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</si>
  <si>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</si>
  <si>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</si>
  <si>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</si>
  <si>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</si>
  <si>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</si>
  <si>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</si>
  <si>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</si>
  <si>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</si>
  <si>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</si>
  <si>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</si>
  <si>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</si>
  <si>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</si>
  <si>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</si>
  <si>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</si>
  <si>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</si>
  <si>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</si>
  <si>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</si>
  <si>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</si>
  <si>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</si>
  <si>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</si>
  <si>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</si>
  <si>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</si>
  <si>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</si>
  <si>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</si>
  <si>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</si>
  <si>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</si>
  <si>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</si>
  <si>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</si>
  <si>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</si>
  <si>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</si>
  <si>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</si>
  <si>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</si>
  <si>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</si>
  <si>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</si>
  <si>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</si>
  <si>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</si>
  <si>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</si>
  <si>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</si>
  <si>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</si>
  <si>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</si>
  <si>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</si>
  <si>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</si>
  <si>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</si>
  <si>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</si>
  <si>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</si>
  <si>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</si>
  <si>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</si>
  <si>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</si>
  <si>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</si>
  <si>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</si>
  <si>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</si>
  <si>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</si>
  <si>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</si>
  <si>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</si>
  <si>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</si>
  <si>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</si>
  <si>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</si>
  <si>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</si>
  <si>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</si>
  <si>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</si>
  <si>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</si>
  <si>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</si>
  <si>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</si>
  <si>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</si>
  <si>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</si>
  <si>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</si>
  <si>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</si>
  <si>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</si>
  <si>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</si>
  <si>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</si>
  <si>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</si>
  <si>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</si>
  <si>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</si>
  <si>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</si>
  <si>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</si>
  <si>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</si>
  <si>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</si>
  <si>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</si>
  <si>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</si>
  <si>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</si>
  <si>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</si>
  <si>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</si>
  <si>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</si>
  <si>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</si>
  <si>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</si>
  <si>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</si>
  <si>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</si>
  <si>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</si>
  <si>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</si>
  <si>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</si>
  <si>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</si>
  <si>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</si>
  <si>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</si>
  <si>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</si>
  <si>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</si>
  <si>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</si>
  <si>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</si>
  <si>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</si>
  <si>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</si>
  <si>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</si>
  <si>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</si>
  <si>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</si>
  <si>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</si>
  <si>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</si>
  <si>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</si>
  <si>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</si>
  <si>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</si>
  <si>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</si>
  <si>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</si>
  <si>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</si>
  <si>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</si>
  <si>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</si>
  <si>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</si>
  <si>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</si>
  <si>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</si>
  <si>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</si>
  <si>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</si>
  <si>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</si>
  <si>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</si>
  <si>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</si>
  <si>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</si>
  <si>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</si>
  <si>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</si>
  <si>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</si>
  <si>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</si>
  <si>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</si>
  <si>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</si>
  <si>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</si>
  <si>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</si>
  <si>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</si>
  <si>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</si>
  <si>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</si>
  <si>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</si>
  <si>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</si>
  <si>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</si>
  <si>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</si>
  <si>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</si>
  <si>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</si>
  <si>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</si>
  <si>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</si>
  <si>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</si>
  <si>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</si>
  <si>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</si>
  <si>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</si>
  <si>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</si>
  <si>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</si>
  <si>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</si>
  <si>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</si>
  <si>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</si>
  <si>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</si>
  <si>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</si>
  <si>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</si>
  <si>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</si>
  <si>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</si>
  <si>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</si>
  <si>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</si>
  <si>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</si>
  <si>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</si>
  <si>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</si>
  <si>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</si>
  <si>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</si>
  <si>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</si>
  <si>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</si>
  <si>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</si>
  <si>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</si>
  <si>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</si>
  <si>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</si>
  <si>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</si>
  <si>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</si>
  <si>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</si>
  <si>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</si>
  <si>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</si>
  <si>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</si>
  <si>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</si>
  <si>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</si>
  <si>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</si>
  <si>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</si>
  <si>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</si>
  <si>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</si>
  <si>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</si>
  <si>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</si>
  <si>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</si>
  <si>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</si>
  <si>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</si>
  <si>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</si>
  <si>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</si>
  <si>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</si>
  <si>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</si>
  <si>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</si>
  <si>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</si>
  <si>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</si>
  <si>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</si>
  <si>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</si>
  <si>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</si>
  <si>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</si>
  <si>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</si>
  <si>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</si>
  <si>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</si>
  <si>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</si>
  <si>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</si>
  <si>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</si>
  <si>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</si>
  <si>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</si>
  <si>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</si>
  <si>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</si>
  <si>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</si>
  <si>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</si>
  <si>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</si>
  <si>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</si>
  <si>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</si>
  <si>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</si>
  <si>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</si>
  <si>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</si>
  <si>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</si>
  <si>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</si>
  <si>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</si>
  <si>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</si>
  <si>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</si>
  <si>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</si>
  <si>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</si>
  <si>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</si>
  <si>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</si>
  <si>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</si>
  <si>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</si>
  <si>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</si>
  <si>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</si>
  <si>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</si>
  <si>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</si>
  <si>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</si>
  <si>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</si>
  <si>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</si>
  <si>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</si>
  <si>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</si>
  <si>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</si>
  <si>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</si>
  <si>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</si>
  <si>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</si>
  <si>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</si>
  <si>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</si>
  <si>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</si>
  <si>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</si>
  <si>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</si>
  <si>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</si>
  <si>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</si>
  <si>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</si>
  <si>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</si>
  <si>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</si>
  <si>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</si>
  <si>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</si>
  <si>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</si>
  <si>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</si>
  <si>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</si>
  <si>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</si>
  <si>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</si>
  <si>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</si>
  <si>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</si>
  <si>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</si>
  <si>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</si>
  <si>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</si>
  <si>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</si>
  <si>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</si>
  <si>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</si>
  <si>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</si>
  <si>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</si>
  <si>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</si>
  <si>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</si>
  <si>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</si>
  <si>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</si>
  <si>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</si>
  <si>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</si>
  <si>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</si>
  <si>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</si>
  <si>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</si>
  <si>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</si>
  <si>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</si>
  <si>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</si>
  <si>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</si>
  <si>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</si>
  <si>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</si>
  <si>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</si>
  <si>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</si>
  <si>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</si>
  <si>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</si>
  <si>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</si>
  <si>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</si>
  <si>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</si>
  <si>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</si>
  <si>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</si>
  <si>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</si>
  <si>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</si>
  <si>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</si>
  <si>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</si>
  <si>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</si>
  <si>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</si>
  <si>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</si>
  <si>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</si>
  <si>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</si>
  <si>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</si>
  <si>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</si>
  <si>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</si>
  <si>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</si>
  <si>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</si>
  <si>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</si>
  <si>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</si>
  <si>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</si>
  <si>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</si>
  <si>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</si>
  <si>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</si>
  <si>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</si>
  <si>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</si>
  <si>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</si>
  <si>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</si>
  <si>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</si>
  <si>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</si>
  <si>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</si>
  <si>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</si>
  <si>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</si>
  <si>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</si>
  <si>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</si>
  <si>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</si>
  <si>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</si>
  <si>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</si>
  <si>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</si>
  <si>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</si>
  <si>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</si>
  <si>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</si>
  <si>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</si>
  <si>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</si>
  <si>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</si>
  <si>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</si>
  <si>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</si>
  <si>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</si>
  <si>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</si>
  <si>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</si>
  <si>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</si>
  <si>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</si>
  <si>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</si>
  <si>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</si>
  <si>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</si>
  <si>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</si>
  <si>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</si>
  <si>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</si>
  <si>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</si>
  <si>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</si>
  <si>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</si>
  <si>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</si>
  <si>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</si>
  <si>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</si>
  <si>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</si>
  <si>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</si>
  <si>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</si>
  <si>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</si>
  <si>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</si>
  <si>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</si>
  <si>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</si>
  <si>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</si>
  <si>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</si>
  <si>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</si>
  <si>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</si>
  <si>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</si>
  <si>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</si>
  <si>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</si>
  <si>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</si>
  <si>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</si>
  <si>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</si>
  <si>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</si>
  <si>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</si>
  <si>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</si>
  <si>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</si>
  <si>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</si>
  <si>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</si>
  <si>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</si>
  <si>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</si>
  <si>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</si>
  <si>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</si>
  <si>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</si>
  <si>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</si>
  <si>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</si>
  <si>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</si>
  <si>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</si>
  <si>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</si>
  <si>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</si>
  <si>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</si>
  <si>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</si>
  <si>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</si>
  <si>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</si>
  <si>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</si>
  <si>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</si>
  <si>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</si>
  <si>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</si>
  <si>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</si>
  <si>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</si>
  <si>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</si>
  <si>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</si>
  <si>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</si>
  <si>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</si>
  <si>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</si>
  <si>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</si>
  <si>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</si>
  <si>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</si>
  <si>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</si>
  <si>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</si>
  <si>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</si>
  <si>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</si>
  <si>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</si>
  <si>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</si>
  <si>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</si>
  <si>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</si>
  <si>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</si>
  <si>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</si>
  <si>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</si>
  <si>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</si>
  <si>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</si>
  <si>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</si>
  <si>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</si>
  <si>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</si>
  <si>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</si>
  <si>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</si>
  <si>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</si>
  <si>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</si>
  <si>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</si>
  <si>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</si>
  <si>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</si>
  <si>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</si>
  <si>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</si>
  <si>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</si>
  <si>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</si>
  <si>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</si>
  <si>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</si>
  <si>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</si>
  <si>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</si>
  <si>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</si>
  <si>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</si>
  <si>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</si>
  <si>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</si>
  <si>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</si>
  <si>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</si>
  <si>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</si>
  <si>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</si>
  <si>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</si>
  <si>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</si>
  <si>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</si>
  <si>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</si>
  <si>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</si>
  <si>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</si>
  <si>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</si>
  <si>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</si>
  <si>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</si>
  <si>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</si>
  <si>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</si>
  <si>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</si>
  <si>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</si>
  <si>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</si>
  <si>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</si>
  <si>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</si>
  <si>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</si>
  <si>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</si>
  <si>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</si>
  <si>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</si>
  <si>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</si>
  <si>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</si>
  <si>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</si>
  <si>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</si>
  <si>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</si>
  <si>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</si>
  <si>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</si>
  <si>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</si>
  <si>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</si>
  <si>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</si>
  <si>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</si>
  <si>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</si>
  <si>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</si>
  <si>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</si>
  <si>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</si>
  <si>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</si>
  <si>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</si>
  <si>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</si>
  <si>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</si>
  <si>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</si>
  <si>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</si>
  <si>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</si>
  <si>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</si>
  <si>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</si>
  <si>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</si>
  <si>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</si>
  <si>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</si>
  <si>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</si>
  <si>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</si>
  <si>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</si>
  <si>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</si>
  <si>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</si>
  <si>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</si>
  <si>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</si>
  <si>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</si>
  <si>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</si>
  <si>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</si>
  <si>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</si>
  <si>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</si>
  <si>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</si>
  <si>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</si>
  <si>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</si>
  <si>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</si>
  <si>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</si>
  <si>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</si>
  <si>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</si>
  <si>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</si>
  <si>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</si>
  <si>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</si>
  <si>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</si>
  <si>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</si>
  <si>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</si>
  <si>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</si>
  <si>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</si>
  <si>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</si>
  <si>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</si>
  <si>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</si>
  <si>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</si>
  <si>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</si>
  <si>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</si>
  <si>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</si>
  <si>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</si>
  <si>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</si>
  <si>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</si>
  <si>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</si>
  <si>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</si>
  <si>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</si>
  <si>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</si>
  <si>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</si>
  <si>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</si>
  <si>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</si>
  <si>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</si>
  <si>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</si>
  <si>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</si>
  <si>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</si>
  <si>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</si>
  <si>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</si>
  <si>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</si>
  <si>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</si>
  <si>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</si>
  <si>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</si>
  <si>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</si>
  <si>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</si>
  <si>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</si>
  <si>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</si>
  <si>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</si>
  <si>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</si>
  <si>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</si>
  <si>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</si>
  <si>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</si>
  <si>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</si>
  <si>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</si>
  <si>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</si>
  <si>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</si>
  <si>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</si>
  <si>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</si>
  <si>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</si>
  <si>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</si>
  <si>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</si>
  <si>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</si>
  <si>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</si>
  <si>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</si>
  <si>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</si>
  <si>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</si>
  <si>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</si>
  <si>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</si>
  <si>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</si>
  <si>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</si>
  <si>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</si>
  <si>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</si>
  <si>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</si>
  <si>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</si>
  <si>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</si>
  <si>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</si>
  <si>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</si>
  <si>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</si>
  <si>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</si>
  <si>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</si>
  <si>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</si>
  <si>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</si>
  <si>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</si>
  <si>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</si>
  <si>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</si>
  <si>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</si>
  <si>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</si>
  <si>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</si>
  <si>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</si>
  <si>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</si>
  <si>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</si>
  <si>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</si>
  <si>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</si>
  <si>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</si>
  <si>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</si>
  <si>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</si>
  <si>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</si>
  <si>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</si>
  <si>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</si>
  <si>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</si>
  <si>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</si>
  <si>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</si>
  <si>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</si>
  <si>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</si>
  <si>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</si>
  <si>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</si>
  <si>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</si>
  <si>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</si>
  <si>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</si>
  <si>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</si>
  <si>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</si>
  <si>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</si>
  <si>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</si>
  <si>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</si>
  <si>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</si>
  <si>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</si>
  <si>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</si>
  <si>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</si>
  <si>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</si>
  <si>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</si>
  <si>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</si>
  <si>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</si>
  <si>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</si>
  <si>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</si>
  <si>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</si>
  <si>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</si>
  <si>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</si>
  <si>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</si>
  <si>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</si>
  <si>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</si>
  <si>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</si>
  <si>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</si>
  <si>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</si>
  <si>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</si>
  <si>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</si>
  <si>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</si>
  <si>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</si>
  <si>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</si>
  <si>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</si>
  <si>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</si>
  <si>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</si>
  <si>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</si>
  <si>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</si>
  <si>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</si>
  <si>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</si>
  <si>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</si>
  <si>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</si>
  <si>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</si>
  <si>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</si>
  <si>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</si>
  <si>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</si>
  <si>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</si>
  <si>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</si>
  <si>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</si>
  <si>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</si>
  <si>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</si>
  <si>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</si>
  <si>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</si>
  <si>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</si>
  <si>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</si>
  <si>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</si>
  <si>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</si>
  <si>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</si>
  <si>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</si>
  <si>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</si>
  <si>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</si>
  <si>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</si>
  <si>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</si>
  <si>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</si>
  <si>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</si>
  <si>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</si>
  <si>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</si>
  <si>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</si>
  <si>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</si>
  <si>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</si>
  <si>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</si>
  <si>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</si>
  <si>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</si>
  <si>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</si>
  <si>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</si>
  <si>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</si>
  <si>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</si>
  <si>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</si>
  <si>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</si>
  <si>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</si>
  <si>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</si>
  <si>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</si>
  <si>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</si>
  <si>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</si>
  <si>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</si>
  <si>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</si>
  <si>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</si>
  <si>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</si>
  <si>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</si>
  <si>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</si>
  <si>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</si>
  <si>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</si>
  <si>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</si>
  <si>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</si>
  <si>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</si>
  <si>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</si>
  <si>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</si>
  <si>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</si>
  <si>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</si>
  <si>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</si>
  <si>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</si>
  <si>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</si>
  <si>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</si>
  <si>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</si>
  <si>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</si>
  <si>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</si>
  <si>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</si>
  <si>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</si>
  <si>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</si>
  <si>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</si>
  <si>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</si>
  <si>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</si>
  <si>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</si>
  <si>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</si>
  <si>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</si>
  <si>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</si>
  <si>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</si>
  <si>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</si>
  <si>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</si>
  <si>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</si>
  <si>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</si>
  <si>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</si>
  <si>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</si>
  <si>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</si>
  <si>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</si>
  <si>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</si>
  <si>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</si>
  <si>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</si>
  <si>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</si>
  <si>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</si>
  <si>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</si>
  <si>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</si>
  <si>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</si>
  <si>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</si>
  <si>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</si>
  <si>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</si>
  <si>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</si>
  <si>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</si>
  <si>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</si>
  <si>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</si>
  <si>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</si>
  <si>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</si>
  <si>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</si>
  <si>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</si>
  <si>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</si>
  <si>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</si>
  <si>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</si>
  <si>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</si>
  <si>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</si>
  <si>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</si>
  <si>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</si>
  <si>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</si>
  <si>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</si>
  <si>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</si>
  <si>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</si>
  <si>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</si>
  <si>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</si>
  <si>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</si>
  <si>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</si>
  <si>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</si>
  <si>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</si>
  <si>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</si>
  <si>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</si>
  <si>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</si>
  <si>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</si>
  <si>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</si>
  <si>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</si>
  <si>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</si>
  <si>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</si>
  <si>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</si>
  <si>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</si>
  <si>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</si>
  <si>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</si>
  <si>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</si>
  <si>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</si>
  <si>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</si>
  <si>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</si>
  <si>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</si>
  <si>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</si>
  <si>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</si>
  <si>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</si>
  <si>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</si>
  <si>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</si>
  <si>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</si>
  <si>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</si>
  <si>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</si>
  <si>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</si>
  <si>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</si>
  <si>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</si>
  <si>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</si>
  <si>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</si>
  <si>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</si>
  <si>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</si>
  <si>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</si>
  <si>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</si>
  <si>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</si>
  <si>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</si>
  <si>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</si>
  <si>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</si>
  <si>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</si>
  <si>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</si>
  <si>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</si>
  <si>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</si>
  <si>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</si>
  <si>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</si>
  <si>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</si>
  <si>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</si>
  <si>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</si>
  <si>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</si>
  <si>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</si>
  <si>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</si>
  <si>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</si>
  <si>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</si>
  <si>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</si>
  <si>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</si>
  <si>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</si>
  <si>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</si>
  <si>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</si>
  <si>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</si>
  <si>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</si>
  <si>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</si>
  <si>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</si>
  <si>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</si>
  <si>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</si>
  <si>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</si>
  <si>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</si>
  <si>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</si>
  <si>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</si>
  <si>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</si>
  <si>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</si>
  <si>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</si>
  <si>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</si>
  <si>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</si>
  <si>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</si>
  <si>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</si>
  <si>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</si>
  <si>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</si>
  <si>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</si>
  <si>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</si>
  <si>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</si>
  <si>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</si>
  <si>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</si>
  <si>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</si>
  <si>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</si>
  <si>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</si>
  <si>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</si>
  <si>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</si>
  <si>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</si>
  <si>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</si>
  <si>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</si>
  <si>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</si>
  <si>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</si>
  <si>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</si>
  <si>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</si>
  <si>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</si>
  <si>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</si>
  <si>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</si>
  <si>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</si>
  <si>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</si>
  <si>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</si>
  <si>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</si>
  <si>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</si>
  <si>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</si>
  <si>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</si>
  <si>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</si>
  <si>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</si>
  <si>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</si>
  <si>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</si>
  <si>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</si>
  <si>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</si>
  <si>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</si>
  <si>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</si>
  <si>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</si>
  <si>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</si>
  <si>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</si>
  <si>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</si>
  <si>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</si>
  <si>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</si>
  <si>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</si>
  <si>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</si>
  <si>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</si>
  <si>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</si>
  <si>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</si>
  <si>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</si>
  <si>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</si>
  <si>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</si>
  <si>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</si>
  <si>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</si>
  <si>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</si>
  <si>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</si>
  <si>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</si>
  <si>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</si>
  <si>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</si>
  <si>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</si>
  <si>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</si>
  <si>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</si>
  <si>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</si>
  <si>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</si>
  <si>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</si>
  <si>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</si>
  <si>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</si>
  <si>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</si>
  <si>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</si>
  <si>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</si>
  <si>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</si>
  <si>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</si>
  <si>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</si>
  <si>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</si>
  <si>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</si>
  <si>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</si>
  <si>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</si>
  <si>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</si>
  <si>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</si>
  <si>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</si>
  <si>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</si>
  <si>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</si>
  <si>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</si>
  <si>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</si>
  <si>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</si>
  <si>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</si>
  <si>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</si>
  <si>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</si>
  <si>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</si>
  <si>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</si>
  <si>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</si>
  <si>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</si>
  <si>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</si>
  <si>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</si>
  <si>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</si>
  <si>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</si>
  <si>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</si>
  <si>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</si>
  <si>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</si>
  <si>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</si>
  <si>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</si>
  <si>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</si>
  <si>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</si>
  <si>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</si>
  <si>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</si>
  <si>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</si>
  <si>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</si>
  <si>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</si>
  <si>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</si>
  <si>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</si>
  <si>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</si>
  <si>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</si>
  <si>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</si>
  <si>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</si>
  <si>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</si>
  <si>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</si>
  <si>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</si>
  <si>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</si>
  <si>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</si>
  <si>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</si>
  <si>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</si>
  <si>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</si>
  <si>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</si>
  <si>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</si>
  <si>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</si>
  <si>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</si>
  <si>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</si>
  <si>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</si>
  <si>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</si>
  <si>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</si>
  <si>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</si>
  <si>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</si>
  <si>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</si>
  <si>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</si>
  <si>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</si>
  <si>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</si>
  <si>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</si>
  <si>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</si>
  <si>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</si>
  <si>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</si>
  <si>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</si>
  <si>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</si>
  <si>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</si>
  <si>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</si>
  <si>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</si>
  <si>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</si>
  <si>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</si>
  <si>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</si>
  <si>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</si>
  <si>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</si>
  <si>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</si>
  <si>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</si>
  <si>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</si>
  <si>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</si>
  <si>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</si>
  <si>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</si>
  <si>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</si>
  <si>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</si>
  <si>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</si>
  <si>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</si>
  <si>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</si>
  <si>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</si>
  <si>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</si>
  <si>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</si>
  <si>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</si>
  <si>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</si>
  <si>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</si>
  <si>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</si>
  <si>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</si>
  <si>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</si>
  <si>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</si>
  <si>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</si>
  <si>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</si>
  <si>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</si>
  <si>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</si>
  <si>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</si>
  <si>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</si>
  <si>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</si>
  <si>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</si>
  <si>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</si>
  <si>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</si>
  <si>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</si>
  <si>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</si>
  <si>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</si>
  <si>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</si>
  <si>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</si>
  <si>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</si>
  <si>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</si>
  <si>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</si>
  <si>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</si>
  <si>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</si>
  <si>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</si>
  <si>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</si>
  <si>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</si>
  <si>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</si>
  <si>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</si>
  <si>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</si>
  <si>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</si>
  <si>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</si>
  <si>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</si>
  <si>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</si>
  <si>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</si>
  <si>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</si>
  <si>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</si>
  <si>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</si>
  <si>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</si>
  <si>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</si>
  <si>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</si>
  <si>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</si>
  <si>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</si>
  <si>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</si>
  <si>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</si>
  <si>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</si>
  <si>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</si>
  <si>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</si>
  <si>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</si>
  <si>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</si>
  <si>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</si>
  <si>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</si>
  <si>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</si>
  <si>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</si>
  <si>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</si>
  <si>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</si>
  <si>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</si>
  <si>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</si>
  <si>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</si>
  <si>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</si>
  <si>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</si>
  <si>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</si>
  <si>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</si>
  <si>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</si>
  <si>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</si>
  <si>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</si>
  <si>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</si>
  <si>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</si>
  <si>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</si>
  <si>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</si>
  <si>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</si>
  <si>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</si>
  <si>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</si>
  <si>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</si>
  <si>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</si>
  <si>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</si>
  <si>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</si>
  <si>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</si>
  <si>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</si>
  <si>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</si>
  <si>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</si>
  <si>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</si>
  <si>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</si>
  <si>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</si>
  <si>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</si>
  <si>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</si>
  <si>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</si>
  <si>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</si>
  <si>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</si>
  <si>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</si>
  <si>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</si>
  <si>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</si>
  <si>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</si>
  <si>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</si>
  <si>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</si>
  <si>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</si>
  <si>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</si>
  <si>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</si>
  <si>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</si>
  <si>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</si>
  <si>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</si>
  <si>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</si>
  <si>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</si>
  <si>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</si>
  <si>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</si>
  <si>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</si>
  <si>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</si>
  <si>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</si>
  <si>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</si>
  <si>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</si>
  <si>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</si>
  <si>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</si>
  <si>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</si>
  <si>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</si>
  <si>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</si>
  <si>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</si>
  <si>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</si>
  <si>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</si>
  <si>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</si>
  <si>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</si>
  <si>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</si>
  <si>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</si>
  <si>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</si>
  <si>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</si>
  <si>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</si>
  <si>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</si>
  <si>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</si>
  <si>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</si>
  <si>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</si>
  <si>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</si>
  <si>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</si>
  <si>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</si>
  <si>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</si>
  <si>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</si>
  <si>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</si>
  <si>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</si>
  <si>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</si>
  <si>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</si>
  <si>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</si>
  <si>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</si>
  <si>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</si>
  <si>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</si>
  <si>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</si>
  <si>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</si>
  <si>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</si>
  <si>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</si>
  <si>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</si>
  <si>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</si>
  <si>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</si>
  <si>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</si>
  <si>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</si>
  <si>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</si>
  <si>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</si>
  <si>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</si>
  <si>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</si>
  <si>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</si>
  <si>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</si>
  <si>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</si>
  <si>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</si>
  <si>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</si>
  <si>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</si>
  <si>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</si>
  <si>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</si>
  <si>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</si>
  <si>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</si>
  <si>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</si>
  <si>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</si>
  <si>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</si>
  <si>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</si>
  <si>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</si>
  <si>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</si>
  <si>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</si>
  <si>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</si>
  <si>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</si>
  <si>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</si>
  <si>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</si>
  <si>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</si>
  <si>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</si>
  <si>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</si>
  <si>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</si>
  <si>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</si>
  <si>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</si>
  <si>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</si>
  <si>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</si>
  <si>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</si>
  <si>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</si>
  <si>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</si>
  <si>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</si>
  <si>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</si>
  <si>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</si>
  <si>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</si>
  <si>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</si>
  <si>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</si>
  <si>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</si>
  <si>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</si>
  <si>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</si>
  <si>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</si>
  <si>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</si>
  <si>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</si>
  <si>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</si>
  <si>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</si>
  <si>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</si>
  <si>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</si>
  <si>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</si>
  <si>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</si>
  <si>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</si>
  <si>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</si>
  <si>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</si>
  <si>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</si>
  <si>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</si>
  <si>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</si>
  <si>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</si>
  <si>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</si>
  <si>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</si>
  <si>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</si>
  <si>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</si>
  <si>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</si>
  <si>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</si>
  <si>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</si>
  <si>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</si>
  <si>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</si>
  <si>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</si>
  <si>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</si>
  <si>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</si>
  <si>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</si>
  <si>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</si>
  <si>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</si>
  <si>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</si>
  <si>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</si>
  <si>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</si>
  <si>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</si>
  <si>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</si>
  <si>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</si>
  <si>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</si>
  <si>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</si>
  <si>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</si>
  <si>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</si>
  <si>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</si>
  <si>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</si>
  <si>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</si>
  <si>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</si>
  <si>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</si>
  <si>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</si>
  <si>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</si>
  <si>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</si>
  <si>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</si>
  <si>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</si>
  <si>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</si>
  <si>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</si>
  <si>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</si>
  <si>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</si>
  <si>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</si>
  <si>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</si>
  <si>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</si>
  <si>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</si>
  <si>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</si>
  <si>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</si>
  <si>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</si>
  <si>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</si>
  <si>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</si>
  <si>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</si>
  <si>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</si>
  <si>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</si>
  <si>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</si>
  <si>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</si>
  <si>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</si>
  <si>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</si>
  <si>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</si>
  <si>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</si>
  <si>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</si>
  <si>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</si>
  <si>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</si>
  <si>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</si>
  <si>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</si>
  <si>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</si>
  <si>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</si>
  <si>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</si>
  <si>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</si>
  <si>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</si>
  <si>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</si>
  <si>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</si>
  <si>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</si>
  <si>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</si>
  <si>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</si>
  <si>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</si>
  <si>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</si>
  <si>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</si>
  <si>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</si>
  <si>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</si>
  <si>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</si>
  <si>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</si>
  <si>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</si>
  <si>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</si>
  <si>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</si>
  <si>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</si>
  <si>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</si>
  <si>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</si>
  <si>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</si>
  <si>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</si>
  <si>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</si>
  <si>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</si>
  <si>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</si>
  <si>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</si>
  <si>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</si>
  <si>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</si>
  <si>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</si>
  <si>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</si>
  <si>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</si>
  <si>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</si>
  <si>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</si>
  <si>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</si>
  <si>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</si>
  <si>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</si>
  <si>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</si>
  <si>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</si>
  <si>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</si>
  <si>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</si>
  <si>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</si>
  <si>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</si>
  <si>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</si>
  <si>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</si>
  <si>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</si>
  <si>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</si>
  <si>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</si>
  <si>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</si>
  <si>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</si>
  <si>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</si>
  <si>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</si>
  <si>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</si>
  <si>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</si>
  <si>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</si>
  <si>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</si>
  <si>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</si>
  <si>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</si>
  <si>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</si>
  <si>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</si>
  <si>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</si>
  <si>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</si>
  <si>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</si>
  <si>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</si>
  <si>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</si>
  <si>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</si>
  <si>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</si>
  <si>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</si>
  <si>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</si>
  <si>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</si>
  <si>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</si>
  <si>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</si>
  <si>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</si>
  <si>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</si>
  <si>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</si>
  <si>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</si>
  <si>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</si>
  <si>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</si>
  <si>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</si>
  <si>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</si>
  <si>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</si>
  <si>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</si>
  <si>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</si>
  <si>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</si>
  <si>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</si>
  <si>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</si>
  <si>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</si>
  <si>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</si>
  <si>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</si>
  <si>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</si>
  <si>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</si>
  <si>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</si>
  <si>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</si>
  <si>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</si>
  <si>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</si>
  <si>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</si>
  <si>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</si>
  <si>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</si>
  <si>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</si>
  <si>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</si>
  <si>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</si>
  <si>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</si>
  <si>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</si>
  <si>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</si>
  <si>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</si>
  <si>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</si>
  <si>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</si>
  <si>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</si>
  <si>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</si>
  <si>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</si>
  <si>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</si>
  <si>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</si>
  <si>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</si>
  <si>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</si>
  <si>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</si>
  <si>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</si>
  <si>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</si>
  <si>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</si>
  <si>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</si>
  <si>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</si>
  <si>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</si>
  <si>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</si>
  <si>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</si>
  <si>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</si>
  <si>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</si>
  <si>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</si>
  <si>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</si>
  <si>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</si>
  <si>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</si>
  <si>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</si>
  <si>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</si>
  <si>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</si>
  <si>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</si>
  <si>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</si>
  <si>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</si>
  <si>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</si>
  <si>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</si>
  <si>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</si>
  <si>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</si>
  <si>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</si>
  <si>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</si>
  <si>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</si>
  <si>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</si>
  <si>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</si>
  <si>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</si>
  <si>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</si>
  <si>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</si>
  <si>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</si>
  <si>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</si>
  <si>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</si>
  <si>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</si>
  <si>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</si>
  <si>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</si>
  <si>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</si>
  <si>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</si>
  <si>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</si>
  <si>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</si>
  <si>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</si>
  <si>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</si>
  <si>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</si>
  <si>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</si>
  <si>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</si>
  <si>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</si>
  <si>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</si>
  <si>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</si>
  <si>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</si>
  <si>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</si>
  <si>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</si>
  <si>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</si>
  <si>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</si>
  <si>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</si>
  <si>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</si>
  <si>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</si>
  <si>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</si>
  <si>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</si>
  <si>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</si>
  <si>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</si>
  <si>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</si>
  <si>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</si>
  <si>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</si>
  <si>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</si>
  <si>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</si>
  <si>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</si>
  <si>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</si>
  <si>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</si>
  <si>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</si>
  <si>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</si>
  <si>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</si>
  <si>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</si>
  <si>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</si>
  <si>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</si>
  <si>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</si>
  <si>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</si>
  <si>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</si>
  <si>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</si>
  <si>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</si>
  <si>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</si>
  <si>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</si>
  <si>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</si>
  <si>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</si>
  <si>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</si>
  <si>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</si>
  <si>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</si>
  <si>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</si>
  <si>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</si>
  <si>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</si>
  <si>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</si>
  <si>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</si>
  <si>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</si>
  <si>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</si>
  <si>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</si>
  <si>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</si>
  <si>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</si>
  <si>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</si>
  <si>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</si>
  <si>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</si>
  <si>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</si>
  <si>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</si>
  <si>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</si>
  <si>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</si>
  <si>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</si>
  <si>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</si>
  <si>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</si>
  <si>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</si>
  <si>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</si>
  <si>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</si>
  <si>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</si>
  <si>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</si>
  <si>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</si>
  <si>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</si>
  <si>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</si>
  <si>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</si>
  <si>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</si>
  <si>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</si>
  <si>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</si>
  <si>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</si>
  <si>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</si>
  <si>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</si>
  <si>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</si>
  <si>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</si>
  <si>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</si>
  <si>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</si>
  <si>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</si>
  <si>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</si>
  <si>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</si>
  <si>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</si>
  <si>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</si>
  <si>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</si>
  <si>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</si>
  <si>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</si>
  <si>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</si>
  <si>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</si>
  <si>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</si>
  <si>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</si>
  <si>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</si>
  <si>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</si>
  <si>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</si>
  <si>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</si>
  <si>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</si>
  <si>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</si>
  <si>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</si>
  <si>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</si>
  <si>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</si>
  <si>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</si>
  <si>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</si>
  <si>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</si>
  <si>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</si>
  <si>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</si>
  <si>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</si>
  <si>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</si>
  <si>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</si>
  <si>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</si>
  <si>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</si>
  <si>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</si>
  <si>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</si>
  <si>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</si>
  <si>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</si>
  <si>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</si>
  <si>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</si>
  <si>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</si>
  <si>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</si>
  <si>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</si>
  <si>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</si>
  <si>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</si>
  <si>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</si>
  <si>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</si>
  <si>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</si>
  <si>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</si>
  <si>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</si>
  <si>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</si>
  <si>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</si>
  <si>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</si>
  <si>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</si>
  <si>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</si>
  <si>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</si>
  <si>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</si>
  <si>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</si>
  <si>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</si>
  <si>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</si>
  <si>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</si>
  <si>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</si>
  <si>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</si>
  <si>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</si>
  <si>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</si>
  <si>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</si>
  <si>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</si>
  <si>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</si>
  <si>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</si>
  <si>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</si>
  <si>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</si>
  <si>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</si>
  <si>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</si>
  <si>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</si>
  <si>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</si>
  <si>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</si>
  <si>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</si>
  <si>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</si>
  <si>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</si>
  <si>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</si>
  <si>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</si>
  <si>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</si>
  <si>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</si>
  <si>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</si>
  <si>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</si>
  <si>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</si>
  <si>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</si>
  <si>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</si>
  <si>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</si>
  <si>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</si>
  <si>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</si>
  <si>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</si>
  <si>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</si>
  <si>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</si>
  <si>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</si>
  <si>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</si>
  <si>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</si>
  <si>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</si>
  <si>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</si>
  <si>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</si>
  <si>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</si>
  <si>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</si>
  <si>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</si>
  <si>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</si>
  <si>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</si>
  <si>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</si>
  <si>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</si>
  <si>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</si>
  <si>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</si>
  <si>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</si>
  <si>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</si>
  <si>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</si>
  <si>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</si>
  <si>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</si>
  <si>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</si>
  <si>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</si>
  <si>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</si>
  <si>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</si>
  <si>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</si>
  <si>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</si>
  <si>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</si>
  <si>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</si>
  <si>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</si>
  <si>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</si>
  <si>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</si>
  <si>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</si>
  <si>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</si>
  <si>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</si>
  <si>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</si>
  <si>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</si>
  <si>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</si>
  <si>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</si>
  <si>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</si>
  <si>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</si>
  <si>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</si>
  <si>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</si>
  <si>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</si>
  <si>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</si>
  <si>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</si>
  <si>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</si>
  <si>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</si>
  <si>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</si>
  <si>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</si>
  <si>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</si>
  <si>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</si>
  <si>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</si>
  <si>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</si>
  <si>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</si>
  <si>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</si>
  <si>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</si>
  <si>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</si>
  <si>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</si>
  <si>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</si>
  <si>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</si>
  <si>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</si>
  <si>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</si>
  <si>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</si>
  <si>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</si>
  <si>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</si>
  <si>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</si>
  <si>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</si>
  <si>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</si>
  <si>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</si>
  <si>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</si>
  <si>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</si>
  <si>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</si>
  <si>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</si>
  <si>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</si>
  <si>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</si>
  <si>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</si>
  <si>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</si>
  <si>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</si>
  <si>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</si>
  <si>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</si>
  <si>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</si>
  <si>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</si>
  <si>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</si>
  <si>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</si>
  <si>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</si>
  <si>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</si>
  <si>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</si>
  <si>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</si>
  <si>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</si>
  <si>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</si>
  <si>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</si>
  <si>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</si>
  <si>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</si>
  <si>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</si>
  <si>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</si>
  <si>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</si>
  <si>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</si>
  <si>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</si>
  <si>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</si>
  <si>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</si>
  <si>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</si>
  <si>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</si>
  <si>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</si>
  <si>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</si>
  <si>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</si>
  <si>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</si>
  <si>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</si>
  <si>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</si>
  <si>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</si>
  <si>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</si>
  <si>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</si>
  <si>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</si>
  <si>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</si>
  <si>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</si>
  <si>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</si>
  <si>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</si>
  <si>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</si>
  <si>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</si>
  <si>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</si>
  <si>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</si>
  <si>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</si>
  <si>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</si>
  <si>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</si>
  <si>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</si>
  <si>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</si>
  <si>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</si>
  <si>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</si>
  <si>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</si>
  <si>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</si>
  <si>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</si>
  <si>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</si>
  <si>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</si>
  <si>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</si>
  <si>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</si>
  <si>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</si>
  <si>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</si>
  <si>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</si>
  <si>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</si>
  <si>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</si>
  <si>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</si>
  <si>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</si>
  <si>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</si>
  <si>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</si>
  <si>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</si>
  <si>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</si>
  <si>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</si>
  <si>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</si>
  <si>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</si>
  <si>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</si>
  <si>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</si>
  <si>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</si>
  <si>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</si>
  <si>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</si>
  <si>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</si>
  <si>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</si>
  <si>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</si>
  <si>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</si>
  <si>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</si>
  <si>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</si>
  <si>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</si>
  <si>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</si>
  <si>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</si>
  <si>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</si>
  <si>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</si>
  <si>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</si>
  <si>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</si>
  <si>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</si>
  <si>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</si>
  <si>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</si>
  <si>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</si>
  <si>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</si>
  <si>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</si>
  <si>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</si>
  <si>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</si>
  <si>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</si>
  <si>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</si>
  <si>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</si>
  <si>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</si>
  <si>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</si>
  <si>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</si>
  <si>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</si>
  <si>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</si>
  <si>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</si>
  <si>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</si>
  <si>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</si>
  <si>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</si>
  <si>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</si>
  <si>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</si>
  <si>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</si>
  <si>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</si>
  <si>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</si>
  <si>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</si>
  <si>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</si>
  <si>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</si>
  <si>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</si>
  <si>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</si>
  <si>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</si>
  <si>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</si>
  <si>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</si>
  <si>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</si>
  <si>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</si>
  <si>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</si>
  <si>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</si>
  <si>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</si>
  <si>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</si>
  <si>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</si>
  <si>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</si>
  <si>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</si>
  <si>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</si>
  <si>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</si>
  <si>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</si>
  <si>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</si>
  <si>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</si>
  <si>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</si>
  <si>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</si>
  <si>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</si>
  <si>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</si>
  <si>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</si>
  <si>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</si>
  <si>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</si>
  <si>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</si>
  <si>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</si>
  <si>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</si>
  <si>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</si>
  <si>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</si>
  <si>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</si>
  <si>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</si>
  <si>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</si>
  <si>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</si>
  <si>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</si>
  <si>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</si>
  <si>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</si>
  <si>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</si>
  <si>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</si>
  <si>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</si>
  <si>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</si>
  <si>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</si>
  <si>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</si>
  <si>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</si>
  <si>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</si>
  <si>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</si>
  <si>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</si>
  <si>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</si>
  <si>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</si>
  <si>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</si>
  <si>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</si>
  <si>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</si>
  <si>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</si>
  <si>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</si>
  <si>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</si>
  <si>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</si>
  <si>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</si>
  <si>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</si>
  <si>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</si>
  <si>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</si>
  <si>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</si>
  <si>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</si>
  <si>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</si>
  <si>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</si>
  <si>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</si>
  <si>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</si>
  <si>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</si>
  <si>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</si>
  <si>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</si>
  <si>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</si>
  <si>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</si>
  <si>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</si>
  <si>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</si>
  <si>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</si>
  <si>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</si>
  <si>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</si>
  <si>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</si>
  <si>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</si>
  <si>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</si>
  <si>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</si>
  <si>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</si>
  <si>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</si>
  <si>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</si>
  <si>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</si>
  <si>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</si>
  <si>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</si>
  <si>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</si>
  <si>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</si>
  <si>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</si>
  <si>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</si>
  <si>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</si>
  <si>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</si>
  <si>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</si>
  <si>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</si>
  <si>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</si>
  <si>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</si>
  <si>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</si>
  <si>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</si>
  <si>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</si>
  <si>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</si>
  <si>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</si>
  <si>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</si>
  <si>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</si>
  <si>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</si>
  <si>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</si>
  <si>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</si>
  <si>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</si>
  <si>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</si>
  <si>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</si>
  <si>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</si>
  <si>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</si>
  <si>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</si>
  <si>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</si>
  <si>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</si>
  <si>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</si>
  <si>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</si>
  <si>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</si>
  <si>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</si>
  <si>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</si>
  <si>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</si>
  <si>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</si>
  <si>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</si>
  <si>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</si>
  <si>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</si>
  <si>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</si>
  <si>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</si>
  <si>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</si>
  <si>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</si>
  <si>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</si>
  <si>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</si>
  <si>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</si>
  <si>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</si>
  <si>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</si>
  <si>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</si>
  <si>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</si>
  <si>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</si>
  <si>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</si>
  <si>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</si>
  <si>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</si>
  <si>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</si>
  <si>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</si>
  <si>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</si>
  <si>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</si>
  <si>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</si>
  <si>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</si>
  <si>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</si>
  <si>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</si>
  <si>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</si>
  <si>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</si>
  <si>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</si>
  <si>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</si>
  <si>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</si>
  <si>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</si>
  <si>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</si>
  <si>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</si>
  <si>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</si>
  <si>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</si>
  <si>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</si>
  <si>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</si>
  <si>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</si>
  <si>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</si>
  <si>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</si>
  <si>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</si>
  <si>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</si>
  <si>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</si>
  <si>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</si>
  <si>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</si>
  <si>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</si>
  <si>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</si>
  <si>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</si>
  <si>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</si>
  <si>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</si>
  <si>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</si>
  <si>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</si>
  <si>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</si>
  <si>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</si>
  <si>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</si>
  <si>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</si>
  <si>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</si>
  <si>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</si>
  <si>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</si>
  <si>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</si>
  <si>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</si>
  <si>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</si>
  <si>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</si>
  <si>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</si>
  <si>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</si>
  <si>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</si>
  <si>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</si>
  <si>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</si>
  <si>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</si>
  <si>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</si>
  <si>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</si>
  <si>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</si>
  <si>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</si>
  <si>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</si>
  <si>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</si>
  <si>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</si>
  <si>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</si>
  <si>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</si>
  <si>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</si>
  <si>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</si>
  <si>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</si>
  <si>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</si>
  <si>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</si>
  <si>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</si>
  <si>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</si>
  <si>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</si>
  <si>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</si>
  <si>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</si>
  <si>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</si>
  <si>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</si>
  <si>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</si>
  <si>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</si>
  <si>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</si>
  <si>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</si>
  <si>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</si>
  <si>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</si>
  <si>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</si>
  <si>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</si>
  <si>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</si>
  <si>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</si>
  <si>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</si>
  <si>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</si>
  <si>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</si>
  <si>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</si>
  <si>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</si>
  <si>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</si>
  <si>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</si>
  <si>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</si>
  <si>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</si>
  <si>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</si>
  <si>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</si>
  <si>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</si>
  <si>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</si>
  <si>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</si>
  <si>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</si>
  <si>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</si>
  <si>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</si>
  <si>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</si>
  <si>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</si>
  <si>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</si>
  <si>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</si>
  <si>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</si>
  <si>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</si>
  <si>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</si>
  <si>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</si>
  <si>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</si>
  <si>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</si>
  <si>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</si>
  <si>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</si>
  <si>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</si>
  <si>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</si>
  <si>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</si>
  <si>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</si>
  <si>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</si>
  <si>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</si>
  <si>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</si>
  <si>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</si>
  <si>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</si>
  <si>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</si>
  <si>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</si>
  <si>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</si>
  <si>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</si>
  <si>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</si>
  <si>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</si>
  <si>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</si>
  <si>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</si>
  <si>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</si>
  <si>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</si>
  <si>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</si>
  <si>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</si>
  <si>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</si>
  <si>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</si>
  <si>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</si>
  <si>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</si>
  <si>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</si>
  <si>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</si>
  <si>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</si>
  <si>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</si>
  <si>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</si>
  <si>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</si>
  <si>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</si>
  <si>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</si>
  <si>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</si>
  <si>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</si>
  <si>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</si>
  <si>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</si>
  <si>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</si>
  <si>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</si>
  <si>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</si>
  <si>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</si>
  <si>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</si>
  <si>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</si>
  <si>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</si>
  <si>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</si>
  <si>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</si>
  <si>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</si>
  <si>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</si>
  <si>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</si>
  <si>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</si>
  <si>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</si>
  <si>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</si>
  <si>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</si>
  <si>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</si>
  <si>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</si>
  <si>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</si>
  <si>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</si>
  <si>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</si>
  <si>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</si>
  <si>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</si>
  <si>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</si>
  <si>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</si>
  <si>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</si>
  <si>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</si>
  <si>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</si>
  <si>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</si>
  <si>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</si>
  <si>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</si>
  <si>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</si>
  <si>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</si>
  <si>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</si>
  <si>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</si>
  <si>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</si>
  <si>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</si>
  <si>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</si>
  <si>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</si>
  <si>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</si>
  <si>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</si>
  <si>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</si>
  <si>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</si>
  <si>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</si>
  <si>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</si>
  <si>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</si>
  <si>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</si>
  <si>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</si>
  <si>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</si>
  <si>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</si>
  <si>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</si>
  <si>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</si>
  <si>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</si>
  <si>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</si>
  <si>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</si>
  <si>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</si>
  <si>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</si>
  <si>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</si>
  <si>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</si>
  <si>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</si>
  <si>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</si>
  <si>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</si>
  <si>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</si>
  <si>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</si>
  <si>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</si>
  <si>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</si>
  <si>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</si>
  <si>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</si>
  <si>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</si>
  <si>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</si>
  <si>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</si>
  <si>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</si>
  <si>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</si>
  <si>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</si>
  <si>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</si>
  <si>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</si>
  <si>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</si>
  <si>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</si>
  <si>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</si>
  <si>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</si>
  <si>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</si>
  <si>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</si>
  <si>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</si>
  <si>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</si>
  <si>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</si>
  <si>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</si>
  <si>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</si>
  <si>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</si>
  <si>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</si>
  <si>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</si>
  <si>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</si>
  <si>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</si>
  <si>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</si>
  <si>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</si>
  <si>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</si>
  <si>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</si>
  <si>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</si>
  <si>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</si>
  <si>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</si>
  <si>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</si>
  <si>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</si>
  <si>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</si>
  <si>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</si>
  <si>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</si>
  <si>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</si>
  <si>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</si>
  <si>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</si>
  <si>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</si>
  <si>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</si>
  <si>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</si>
  <si>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</si>
  <si>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</si>
  <si>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</si>
  <si>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</si>
  <si>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</si>
  <si>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</si>
  <si>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</si>
  <si>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</si>
  <si>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</si>
  <si>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</si>
  <si>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</si>
  <si>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</si>
  <si>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</si>
  <si>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</si>
  <si>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</si>
  <si>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</si>
  <si>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</si>
  <si>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</si>
  <si>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</si>
  <si>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</si>
  <si>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</si>
  <si>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</si>
  <si>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</si>
  <si>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</si>
  <si>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</si>
  <si>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</si>
  <si>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</si>
  <si>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</si>
  <si>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</si>
  <si>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</si>
  <si>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</si>
  <si>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</si>
  <si>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</si>
  <si>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</si>
  <si>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</si>
  <si>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</si>
  <si>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</si>
  <si>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</si>
  <si>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</si>
  <si>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</si>
  <si>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</si>
  <si>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</si>
  <si>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</si>
  <si>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</si>
  <si>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</si>
  <si>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</si>
  <si>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</si>
  <si>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</si>
  <si>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</si>
  <si>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</si>
  <si>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</si>
  <si>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</si>
  <si>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</si>
  <si>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</si>
  <si>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</si>
  <si>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</si>
  <si>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</si>
  <si>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</si>
  <si>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</si>
  <si>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</si>
  <si>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</si>
  <si>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</si>
  <si>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</si>
  <si>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</si>
  <si>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</si>
  <si>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</si>
  <si>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</si>
  <si>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</si>
  <si>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</si>
  <si>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</si>
  <si>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</si>
  <si>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</si>
  <si>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</si>
  <si>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</si>
  <si>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</si>
  <si>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</si>
  <si>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</si>
  <si>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</si>
  <si>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</si>
  <si>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</si>
  <si>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</si>
  <si>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</si>
  <si>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</si>
  <si>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</si>
  <si>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</si>
  <si>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</si>
  <si>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</si>
  <si>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</si>
  <si>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</si>
  <si>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</si>
  <si>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</si>
  <si>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</si>
  <si>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</si>
  <si>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</si>
  <si>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</si>
  <si>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</si>
  <si>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</si>
  <si>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</si>
  <si>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</si>
  <si>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</si>
  <si>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</si>
  <si>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</si>
  <si>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</si>
  <si>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</si>
  <si>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</si>
  <si>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</si>
  <si>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</si>
  <si>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</si>
  <si>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</si>
  <si>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</si>
  <si>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</si>
  <si>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</si>
  <si>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</si>
  <si>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</si>
  <si>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</si>
  <si>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</si>
  <si>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</si>
  <si>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</si>
  <si>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</si>
  <si>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</si>
  <si>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</si>
  <si>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</si>
  <si>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</si>
  <si>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</si>
  <si>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</si>
  <si>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</si>
  <si>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</si>
  <si>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</si>
  <si>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</si>
  <si>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</si>
  <si>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</si>
  <si>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</si>
  <si>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</si>
  <si>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</si>
  <si>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</si>
  <si>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</si>
  <si>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</si>
  <si>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</si>
  <si>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</si>
  <si>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</si>
  <si>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</si>
  <si>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</si>
  <si>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</si>
  <si>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</si>
  <si>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</si>
  <si>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</si>
  <si>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</si>
  <si>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</si>
  <si>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</si>
  <si>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</si>
  <si>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</si>
  <si>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</si>
  <si>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</si>
  <si>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</si>
  <si>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</si>
  <si>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</si>
  <si>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</si>
  <si>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</si>
  <si>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</si>
  <si>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</si>
  <si>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</si>
  <si>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</si>
  <si>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</si>
  <si>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</si>
  <si>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</si>
  <si>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</si>
  <si>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</si>
  <si>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</si>
  <si>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</si>
  <si>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</si>
  <si>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</si>
  <si>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</si>
  <si>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</si>
  <si>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</si>
  <si>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</si>
  <si>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</si>
  <si>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</si>
  <si>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</si>
  <si>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</si>
  <si>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</si>
  <si>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</si>
  <si>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</si>
  <si>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</si>
  <si>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</si>
  <si>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</si>
  <si>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</si>
  <si>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</si>
  <si>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</si>
  <si>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</si>
  <si>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</si>
  <si>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</si>
  <si>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</si>
  <si>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</si>
  <si>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</si>
  <si>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</si>
  <si>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</si>
  <si>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</si>
  <si>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</si>
  <si>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</si>
  <si>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</si>
  <si>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</si>
  <si>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</si>
  <si>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</si>
  <si>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</si>
  <si>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</si>
  <si>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</si>
  <si>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</si>
  <si>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</si>
  <si>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</si>
  <si>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</si>
  <si>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</si>
  <si>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</si>
  <si>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</si>
  <si>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</si>
  <si>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</si>
  <si>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</si>
  <si>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</si>
  <si>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</si>
  <si>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</si>
  <si>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</si>
  <si>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</si>
  <si>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</si>
  <si>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</si>
  <si>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</si>
  <si>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</si>
  <si>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</si>
  <si>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</si>
  <si>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</si>
  <si>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</si>
  <si>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</si>
  <si>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</si>
  <si>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</si>
  <si>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</si>
  <si>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</si>
  <si>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</si>
  <si>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</si>
  <si>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</si>
  <si>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</si>
  <si>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</si>
  <si>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</si>
  <si>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</si>
  <si>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</si>
  <si>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</si>
  <si>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</si>
  <si>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</si>
  <si>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</si>
  <si>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</si>
  <si>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</si>
  <si>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</si>
  <si>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</si>
  <si>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</si>
  <si>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</si>
  <si>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</si>
  <si>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</si>
  <si>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</si>
  <si>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</si>
  <si>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</si>
  <si>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</si>
  <si>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</si>
  <si>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</si>
  <si>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</si>
  <si>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</si>
  <si>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</si>
  <si>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</si>
  <si>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</si>
  <si>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</si>
  <si>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</si>
  <si>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</si>
  <si>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</si>
  <si>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</si>
  <si>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</si>
  <si>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</si>
  <si>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</si>
  <si>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</si>
  <si>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</si>
  <si>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</si>
  <si>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</si>
  <si>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</si>
  <si>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</si>
  <si>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</si>
  <si>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</si>
  <si>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</si>
  <si>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</si>
  <si>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</si>
  <si>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</si>
  <si>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</si>
  <si>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</si>
  <si>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</si>
  <si>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</si>
  <si>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</si>
  <si>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</si>
  <si>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</si>
  <si>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</si>
  <si>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</si>
  <si>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</si>
  <si>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</si>
  <si>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</si>
  <si>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</si>
  <si>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</si>
  <si>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</si>
  <si>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</si>
  <si>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</si>
  <si>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</si>
  <si>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</si>
  <si>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</si>
  <si>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</si>
  <si>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</si>
  <si>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</si>
  <si>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</si>
  <si>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</si>
  <si>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</si>
  <si>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</si>
  <si>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</si>
  <si>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</si>
  <si>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</si>
  <si>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</si>
  <si>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</si>
  <si>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</si>
  <si>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</si>
  <si>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</si>
  <si>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</si>
  <si>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</si>
  <si>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</si>
  <si>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</si>
  <si>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</si>
  <si>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</si>
  <si>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</si>
  <si>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</si>
  <si>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</si>
  <si>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</si>
  <si>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</si>
  <si>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</si>
  <si>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</si>
  <si>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</si>
  <si>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</si>
  <si>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</si>
  <si>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</si>
  <si>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</si>
  <si>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</si>
  <si>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</si>
  <si>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</si>
  <si>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</si>
  <si>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</si>
  <si>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</si>
  <si>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</si>
  <si>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</si>
  <si>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</si>
  <si>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</si>
  <si>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</si>
  <si>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</si>
  <si>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</si>
  <si>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</si>
  <si>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</si>
  <si>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</si>
  <si>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</si>
  <si>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</si>
  <si>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</si>
  <si>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</si>
  <si>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</si>
  <si>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</si>
  <si>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</si>
  <si>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</si>
  <si>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</si>
  <si>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</si>
  <si>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</si>
  <si>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</si>
  <si>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</si>
  <si>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</si>
  <si>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</si>
  <si>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</si>
  <si>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</si>
  <si>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</si>
  <si>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</si>
  <si>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</si>
  <si>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</si>
  <si>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</si>
  <si>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</si>
  <si>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</si>
  <si>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</si>
  <si>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</si>
  <si>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</si>
  <si>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</si>
  <si>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</si>
  <si>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</si>
  <si>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</si>
  <si>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</si>
  <si>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</si>
  <si>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</si>
  <si>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</si>
  <si>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</si>
  <si>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</si>
  <si>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</si>
  <si>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</si>
  <si>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</si>
  <si>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</si>
  <si>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</si>
  <si>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</si>
  <si>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</si>
  <si>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</si>
  <si>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</si>
  <si>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</si>
  <si>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</si>
  <si>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</si>
  <si>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</si>
  <si>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</si>
  <si>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</si>
  <si>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</si>
  <si>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</si>
  <si>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</si>
  <si>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</si>
  <si>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</si>
  <si>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</si>
  <si>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</si>
  <si>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</si>
  <si>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</si>
  <si>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</si>
  <si>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</si>
  <si>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</si>
  <si>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</si>
  <si>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</si>
  <si>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</si>
  <si>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</si>
  <si>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</si>
  <si>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</si>
  <si>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</si>
  <si>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</si>
  <si>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</si>
  <si>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</si>
  <si>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</si>
  <si>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</si>
  <si>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</si>
  <si>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</si>
  <si>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</si>
  <si>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</si>
  <si>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</si>
  <si>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</si>
  <si>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</si>
  <si>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</si>
  <si>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</si>
  <si>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</si>
  <si>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</si>
  <si>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</si>
  <si>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</si>
  <si>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</si>
  <si>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</si>
  <si>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</si>
  <si>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</si>
  <si>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</si>
  <si>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</si>
  <si>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</si>
  <si>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</si>
  <si>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</si>
  <si>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</si>
  <si>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</si>
  <si>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</si>
  <si>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</si>
  <si>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</si>
  <si>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</si>
  <si>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</si>
  <si>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</si>
  <si>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</si>
  <si>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</si>
  <si>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</si>
  <si>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</si>
  <si>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</si>
  <si>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</si>
  <si>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</si>
  <si>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</si>
  <si>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</si>
  <si>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</si>
  <si>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</si>
  <si>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</si>
  <si>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</si>
  <si>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</si>
  <si>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</si>
  <si>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</si>
  <si>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</si>
  <si>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</si>
  <si>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</si>
  <si>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</si>
  <si>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</si>
  <si>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</si>
  <si>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</si>
  <si>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</si>
  <si>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</si>
  <si>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</si>
  <si>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</si>
  <si>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</si>
  <si>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</si>
  <si>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</si>
  <si>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</si>
  <si>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</si>
  <si>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</si>
  <si>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(1)Jensen Lake Releve</t>
  </si>
  <si>
    <t>D7i, D5-6c, D4r, D3p, D1-2r, C1-2r</t>
  </si>
  <si>
    <t>Ribes sp.</t>
  </si>
  <si>
    <t>Sambucus sp.</t>
  </si>
  <si>
    <t>Ulmus sp.</t>
  </si>
  <si>
    <t>Corylus sp.</t>
  </si>
  <si>
    <t>H1-2</t>
  </si>
  <si>
    <t>Sanicula odorata</t>
  </si>
  <si>
    <t>G1</t>
  </si>
  <si>
    <t>Carex sp.</t>
  </si>
  <si>
    <t>LHHL2021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</si>
</sst>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19" applyNumberFormat="0" applyAlignment="0" applyProtection="0"/>
    <xf numFmtId="0" fontId="22" fillId="6" borderId="20" applyNumberFormat="0" applyAlignment="0" applyProtection="0"/>
    <xf numFmtId="0" fontId="23" fillId="6" borderId="19" applyNumberFormat="0" applyAlignment="0" applyProtection="0"/>
    <xf numFmtId="0" fontId="24" fillId="0" borderId="21" applyNumberFormat="0" applyFill="0" applyAlignment="0" applyProtection="0"/>
    <xf numFmtId="0" fontId="25" fillId="7" borderId="2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4" applyNumberFormat="0" applyFill="0" applyAlignment="0" applyProtection="0"/>
    <xf numFmtId="0" fontId="2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9" fillId="32" borderId="0" applyNumberFormat="0" applyBorder="0" applyAlignment="0" applyProtection="0"/>
    <xf numFmtId="0" fontId="31" fillId="0" borderId="0"/>
    <xf numFmtId="0" fontId="9" fillId="0" borderId="0"/>
    <xf numFmtId="0" fontId="3" fillId="0" borderId="0"/>
    <xf numFmtId="0" fontId="3" fillId="8" borderId="23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0" borderId="0"/>
    <xf numFmtId="0" fontId="2" fillId="0" borderId="0"/>
    <xf numFmtId="0" fontId="2" fillId="8" borderId="23" applyNumberFormat="0" applyFont="0" applyAlignment="0" applyProtection="0"/>
    <xf numFmtId="0" fontId="9" fillId="0" borderId="0"/>
  </cellStyleXfs>
  <cellXfs count="149">
    <xf numFmtId="0" fontId="0" fillId="0" borderId="0" xfId="0"/>
    <xf numFmtId="0" fontId="4" fillId="0" borderId="0" xfId="0" applyFont="1"/>
    <xf numFmtId="0" fontId="7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5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9" fillId="0" borderId="0" xfId="0" applyFont="1"/>
    <xf numFmtId="0" fontId="9" fillId="0" borderId="0" xfId="1"/>
    <xf numFmtId="0" fontId="8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vertical="center"/>
    </xf>
    <xf numFmtId="0" fontId="9" fillId="0" borderId="0" xfId="0" applyFont="1" applyAlignment="1"/>
    <xf numFmtId="0" fontId="0" fillId="0" borderId="0" xfId="0" applyBorder="1"/>
    <xf numFmtId="0" fontId="4" fillId="0" borderId="15" xfId="0" applyFont="1" applyBorder="1"/>
    <xf numFmtId="0" fontId="0" fillId="0" borderId="0" xfId="0"/>
    <xf numFmtId="0" fontId="0" fillId="0" borderId="0" xfId="0"/>
    <xf numFmtId="0" fontId="30" fillId="0" borderId="25" xfId="0" applyFont="1" applyBorder="1"/>
    <xf numFmtId="0" fontId="30" fillId="0" borderId="25" xfId="0" applyFont="1" applyFill="1" applyBorder="1"/>
    <xf numFmtId="0" fontId="30" fillId="0" borderId="25" xfId="0" applyNumberFormat="1" applyFont="1" applyBorder="1"/>
    <xf numFmtId="0" fontId="31" fillId="0" borderId="0" xfId="0" applyFont="1" applyFill="1"/>
    <xf numFmtId="0" fontId="0" fillId="0" borderId="0" xfId="0" quotePrefix="1" applyNumberFormat="1"/>
    <xf numFmtId="0" fontId="31" fillId="0" borderId="0" xfId="0" quotePrefix="1" applyNumberFormat="1" applyFont="1"/>
    <xf numFmtId="0" fontId="0" fillId="0" borderId="0" xfId="0" applyNumberFormat="1"/>
    <xf numFmtId="0" fontId="31" fillId="0" borderId="0" xfId="0" applyFont="1"/>
    <xf numFmtId="0" fontId="31" fillId="0" borderId="0" xfId="0" quotePrefix="1" applyNumberFormat="1" applyFont="1" applyFill="1"/>
    <xf numFmtId="0" fontId="32" fillId="0" borderId="0" xfId="0" applyFont="1"/>
    <xf numFmtId="0" fontId="4" fillId="0" borderId="15" xfId="1" applyFont="1" applyFill="1" applyBorder="1"/>
    <xf numFmtId="0" fontId="9" fillId="0" borderId="0" xfId="0" applyFont="1" applyAlignment="1">
      <alignment vertical="center"/>
    </xf>
    <xf numFmtId="0" fontId="0" fillId="0" borderId="15" xfId="0" applyBorder="1"/>
    <xf numFmtId="0" fontId="9" fillId="0" borderId="0" xfId="1"/>
    <xf numFmtId="0" fontId="9" fillId="0" borderId="0" xfId="1" applyFont="1"/>
    <xf numFmtId="0" fontId="4" fillId="0" borderId="0" xfId="1" applyFont="1"/>
    <xf numFmtId="0" fontId="4" fillId="0" borderId="15" xfId="1" applyFont="1" applyBorder="1"/>
    <xf numFmtId="0" fontId="9" fillId="0" borderId="0" xfId="1" applyBorder="1"/>
    <xf numFmtId="0" fontId="4" fillId="0" borderId="0" xfId="1" applyFont="1" applyFill="1"/>
    <xf numFmtId="0" fontId="34" fillId="0" borderId="26" xfId="0" applyFont="1" applyBorder="1"/>
    <xf numFmtId="0" fontId="34" fillId="0" borderId="25" xfId="0" applyFont="1" applyBorder="1"/>
    <xf numFmtId="0" fontId="34" fillId="0" borderId="27" xfId="0" applyFont="1" applyBorder="1"/>
    <xf numFmtId="0" fontId="33" fillId="0" borderId="28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1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2" fillId="0" borderId="0" xfId="46"/>
    <xf numFmtId="0" fontId="31" fillId="0" borderId="0" xfId="59" applyFont="1" applyFill="1"/>
    <xf numFmtId="0" fontId="9" fillId="0" borderId="15" xfId="0" applyFont="1" applyBorder="1" applyAlignment="1">
      <alignment vertical="center"/>
    </xf>
    <xf numFmtId="0" fontId="9" fillId="0" borderId="30" xfId="1" applyBorder="1"/>
    <xf numFmtId="0" fontId="9" fillId="0" borderId="15" xfId="1" applyFont="1" applyBorder="1"/>
    <xf numFmtId="0" fontId="9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9" fillId="0" borderId="0" xfId="0" applyFont="1"/>
    <xf numFmtId="14" fontId="9" fillId="0" borderId="0" xfId="1" applyNumberFormat="1" applyFont="1"/>
    <xf numFmtId="0" fontId="4" fillId="0" borderId="0" xfId="1" applyFont="1" applyBorder="1"/>
    <xf numFmtId="0" fontId="9" fillId="0" borderId="0" xfId="1" applyBorder="1"/>
    <xf numFmtId="0" fontId="4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9" fillId="0" borderId="0" xfId="0" applyFont="1"/>
    <xf numFmtId="0" fontId="4" fillId="0" borderId="0" xfId="1" applyFont="1" applyFill="1"/>
    <xf numFmtId="0" fontId="0" fillId="0" borderId="0" xfId="0"/>
    <xf numFmtId="0" fontId="4" fillId="0" borderId="0" xfId="1" applyFont="1"/>
    <xf numFmtId="0" fontId="0" fillId="0" borderId="0" xfId="0"/>
    <xf numFmtId="0" fontId="4" fillId="0" borderId="0" xfId="1" applyFont="1"/>
    <xf numFmtId="0" fontId="9" fillId="0" borderId="0" xfId="1" applyFont="1" applyFill="1"/>
    <xf numFmtId="0" fontId="4" fillId="34" borderId="0" xfId="1" applyFont="1" applyFill="1" applyBorder="1"/>
    <xf numFmtId="0" fontId="9" fillId="35" borderId="0" xfId="1" applyFill="1" applyBorder="1"/>
    <xf numFmtId="0" fontId="9" fillId="35" borderId="0" xfId="0" applyFont="1" applyFill="1"/>
    <xf numFmtId="0" fontId="9" fillId="35" borderId="15" xfId="0" applyFont="1" applyFill="1" applyBorder="1"/>
    <xf numFmtId="0" fontId="0" fillId="0" borderId="0" xfId="0"/>
    <xf numFmtId="2" fontId="9" fillId="0" borderId="26" xfId="0" applyNumberFormat="1" applyFont="1" applyBorder="1"/>
    <xf numFmtId="2" fontId="9" fillId="0" borderId="32" xfId="0" applyNumberFormat="1" applyFont="1" applyBorder="1" applyAlignment="1">
      <alignment horizontal="center"/>
    </xf>
    <xf numFmtId="2" fontId="9" fillId="0" borderId="25" xfId="0" applyNumberFormat="1" applyFont="1" applyBorder="1"/>
    <xf numFmtId="2" fontId="9" fillId="0" borderId="27" xfId="0" applyNumberFormat="1" applyFont="1" applyBorder="1"/>
    <xf numFmtId="0" fontId="0" fillId="0" borderId="0" xfId="0"/>
    <xf numFmtId="0" fontId="9" fillId="36" borderId="0" xfId="0" applyFont="1" applyFill="1" applyAlignment="1">
      <alignment vertical="center"/>
    </xf>
    <xf numFmtId="0" fontId="9" fillId="36" borderId="0" xfId="1" applyFont="1" applyFill="1"/>
    <xf numFmtId="0" fontId="9" fillId="35" borderId="0" xfId="1" applyFill="1"/>
    <xf numFmtId="2" fontId="9" fillId="0" borderId="25" xfId="0" applyNumberFormat="1" applyFont="1" applyFill="1" applyBorder="1"/>
    <xf numFmtId="2" fontId="9" fillId="37" borderId="25" xfId="0" applyNumberFormat="1" applyFont="1" applyFill="1" applyBorder="1"/>
    <xf numFmtId="2" fontId="9" fillId="37" borderId="27" xfId="0" applyNumberFormat="1" applyFont="1" applyFill="1" applyBorder="1"/>
    <xf numFmtId="0" fontId="5" fillId="0" borderId="25" xfId="1" applyFont="1" applyBorder="1"/>
    <xf numFmtId="0" fontId="5" fillId="0" borderId="0" xfId="0" applyFont="1"/>
    <xf numFmtId="0" fontId="5" fillId="0" borderId="25" xfId="1" applyFont="1" applyBorder="1" applyAlignment="1">
      <alignment horizontal="left"/>
    </xf>
    <xf numFmtId="0" fontId="5" fillId="0" borderId="26" xfId="1" applyFont="1" applyBorder="1"/>
    <xf numFmtId="0" fontId="9" fillId="35" borderId="0" xfId="0" applyFont="1" applyFill="1" applyAlignment="1">
      <alignment horizontal="right"/>
    </xf>
    <xf numFmtId="0" fontId="5" fillId="0" borderId="25" xfId="0" applyFont="1" applyBorder="1"/>
    <xf numFmtId="0" fontId="5" fillId="0" borderId="33" xfId="1" applyFont="1" applyBorder="1"/>
    <xf numFmtId="0" fontId="5" fillId="0" borderId="0" xfId="1" applyFont="1"/>
    <xf numFmtId="0" fontId="5" fillId="0" borderId="34" xfId="1" applyFont="1" applyBorder="1"/>
    <xf numFmtId="0" fontId="9" fillId="0" borderId="25" xfId="1" applyBorder="1" applyAlignment="1">
      <alignment horizontal="left"/>
    </xf>
    <xf numFmtId="0" fontId="9" fillId="0" borderId="26" xfId="1" applyBorder="1" applyAlignment="1">
      <alignment horizontal="left"/>
    </xf>
    <xf numFmtId="0" fontId="9" fillId="0" borderId="25" xfId="0" applyFont="1" applyBorder="1"/>
    <xf numFmtId="0" fontId="9" fillId="0" borderId="25" xfId="1" applyBorder="1"/>
    <xf numFmtId="0" fontId="1" fillId="35" borderId="0" xfId="46" applyFont="1" applyFill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4" fillId="0" borderId="0" xfId="1" applyFont="1" applyFill="1"/>
    <xf numFmtId="0" fontId="0" fillId="0" borderId="0" xfId="0"/>
    <xf numFmtId="0" fontId="4" fillId="0" borderId="0" xfId="1" applyFont="1"/>
    <xf numFmtId="0" fontId="8" fillId="0" borderId="0" xfId="1" applyFont="1"/>
    <xf numFmtId="0" fontId="11" fillId="0" borderId="0" xfId="1" applyFont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33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2" t="s">
        <v>57</v>
      </c>
      <c r="B2" s="132"/>
      <c r="C2" s="132"/>
      <c r="D2" s="132"/>
      <c r="E2" s="132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4" t="s">
        <v>5401</v>
      </c>
      <c r="B22" s="134"/>
      <c r="C22" s="134"/>
      <c r="D22" s="134"/>
      <c r="E22" s="134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3" t="s">
        <v>5402</v>
      </c>
      <c r="B24" s="133"/>
      <c r="C24" s="133"/>
      <c r="D24" s="133"/>
      <c r="E24" s="133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3" t="s">
        <v>61</v>
      </c>
      <c r="B39" s="133"/>
      <c r="C39" s="133"/>
      <c r="D39" s="133"/>
      <c r="E39" s="133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3" t="s">
        <v>62</v>
      </c>
      <c r="B45" s="133"/>
      <c r="C45" s="133"/>
      <c r="D45" s="133"/>
      <c r="E45" s="133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3" t="s">
        <v>43</v>
      </c>
      <c r="B93" s="124"/>
      <c r="C93" s="125"/>
      <c r="D93" s="126" t="s">
        <v>44</v>
      </c>
      <c r="E93" s="127"/>
    </row>
    <row r="94" spans="1:5" x14ac:dyDescent="0.2">
      <c r="A94" s="73" t="s">
        <v>23</v>
      </c>
      <c r="B94" s="128" t="s">
        <v>30</v>
      </c>
      <c r="C94" s="129"/>
      <c r="D94" s="3" t="s">
        <v>46</v>
      </c>
      <c r="E94" s="9">
        <v>8</v>
      </c>
    </row>
    <row r="95" spans="1:5" x14ac:dyDescent="0.2">
      <c r="A95" s="73" t="s">
        <v>24</v>
      </c>
      <c r="B95" s="130" t="s">
        <v>31</v>
      </c>
      <c r="C95" s="131"/>
      <c r="D95" s="3" t="s">
        <v>47</v>
      </c>
      <c r="E95" s="9">
        <v>7</v>
      </c>
    </row>
    <row r="96" spans="1:5" x14ac:dyDescent="0.2">
      <c r="A96" s="73" t="s">
        <v>3</v>
      </c>
      <c r="B96" s="130" t="s">
        <v>32</v>
      </c>
      <c r="C96" s="131"/>
      <c r="D96" s="3" t="s">
        <v>48</v>
      </c>
      <c r="E96" s="9">
        <v>6</v>
      </c>
    </row>
    <row r="97" spans="1:5" x14ac:dyDescent="0.2">
      <c r="A97" s="73" t="s">
        <v>25</v>
      </c>
      <c r="B97" s="130" t="s">
        <v>33</v>
      </c>
      <c r="C97" s="131"/>
      <c r="D97" s="3" t="s">
        <v>49</v>
      </c>
      <c r="E97" s="9">
        <v>5</v>
      </c>
    </row>
    <row r="98" spans="1:5" x14ac:dyDescent="0.2">
      <c r="A98" s="73" t="s">
        <v>26</v>
      </c>
      <c r="B98" s="130" t="s">
        <v>34</v>
      </c>
      <c r="C98" s="131"/>
      <c r="D98" s="3" t="s">
        <v>50</v>
      </c>
      <c r="E98" s="9">
        <v>4</v>
      </c>
    </row>
    <row r="99" spans="1:5" x14ac:dyDescent="0.2">
      <c r="A99" s="73" t="s">
        <v>27</v>
      </c>
      <c r="B99" s="130" t="s">
        <v>35</v>
      </c>
      <c r="C99" s="131"/>
      <c r="D99" s="3" t="s">
        <v>4</v>
      </c>
      <c r="E99" s="9">
        <v>3</v>
      </c>
    </row>
    <row r="100" spans="1:5" x14ac:dyDescent="0.2">
      <c r="A100" s="73" t="s">
        <v>2</v>
      </c>
      <c r="B100" s="130" t="s">
        <v>36</v>
      </c>
      <c r="C100" s="131"/>
      <c r="D100" s="3" t="s">
        <v>5</v>
      </c>
      <c r="E100" s="9">
        <v>2</v>
      </c>
    </row>
    <row r="101" spans="1:5" x14ac:dyDescent="0.2">
      <c r="A101" s="73" t="s">
        <v>28</v>
      </c>
      <c r="B101" s="130" t="s">
        <v>37</v>
      </c>
      <c r="C101" s="131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7" t="s">
        <v>38</v>
      </c>
      <c r="C102" s="138"/>
      <c r="D102" s="5"/>
      <c r="E102" s="8"/>
    </row>
    <row r="103" spans="1:5" ht="13.2" thickBot="1" x14ac:dyDescent="0.25">
      <c r="A103" s="123" t="s">
        <v>68</v>
      </c>
      <c r="B103" s="124"/>
      <c r="C103" s="125"/>
      <c r="D103" s="126" t="s">
        <v>45</v>
      </c>
      <c r="E103" s="127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3" t="s">
        <v>21</v>
      </c>
      <c r="B112" s="124"/>
      <c r="C112" s="127"/>
    </row>
    <row r="113" spans="1:3" x14ac:dyDescent="0.2">
      <c r="A113" s="73">
        <v>1</v>
      </c>
      <c r="B113" s="128" t="s">
        <v>40</v>
      </c>
      <c r="C113" s="129"/>
    </row>
    <row r="114" spans="1:3" x14ac:dyDescent="0.2">
      <c r="A114" s="73" t="s">
        <v>39</v>
      </c>
      <c r="B114" s="130" t="s">
        <v>41</v>
      </c>
      <c r="C114" s="131"/>
    </row>
    <row r="115" spans="1:3" x14ac:dyDescent="0.2">
      <c r="A115" s="74" t="s">
        <v>15</v>
      </c>
      <c r="B115" s="135" t="s">
        <v>42</v>
      </c>
      <c r="C115" s="136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2" t="s">
        <v>127</v>
      </c>
      <c r="B1" s="132"/>
      <c r="C1" s="132"/>
      <c r="D1" s="132"/>
      <c r="E1" s="132"/>
      <c r="F1" s="132"/>
      <c r="G1" s="132"/>
      <c r="H1" s="14"/>
    </row>
    <row r="2" spans="1:14" x14ac:dyDescent="0.2">
      <c r="A2" s="141" t="s">
        <v>138</v>
      </c>
      <c r="B2" s="141"/>
      <c r="C2" s="15"/>
      <c r="D2" s="15"/>
      <c r="E2" s="15"/>
      <c r="F2" s="15"/>
      <c r="G2" s="15"/>
      <c r="H2" s="15"/>
    </row>
    <row r="3" spans="1:14" x14ac:dyDescent="0.2">
      <c r="A3" s="142" t="s">
        <v>52</v>
      </c>
      <c r="B3" s="142"/>
      <c r="C3" s="15"/>
      <c r="D3" s="15"/>
      <c r="E3" s="15"/>
      <c r="F3" s="15"/>
      <c r="G3" s="15"/>
      <c r="H3" s="15"/>
    </row>
    <row r="4" spans="1:14" x14ac:dyDescent="0.2">
      <c r="A4" s="142" t="s">
        <v>55</v>
      </c>
      <c r="B4" s="142"/>
      <c r="C4" s="15"/>
      <c r="D4" s="15"/>
      <c r="E4" s="15"/>
      <c r="F4" s="15"/>
      <c r="G4" s="15"/>
      <c r="H4" s="15"/>
    </row>
    <row r="5" spans="1:14" x14ac:dyDescent="0.2">
      <c r="A5" s="142" t="s">
        <v>51</v>
      </c>
      <c r="B5" s="142"/>
      <c r="C5" s="15"/>
      <c r="D5" s="15"/>
      <c r="E5" s="15"/>
      <c r="F5" s="15"/>
      <c r="G5" s="15"/>
      <c r="H5" s="15"/>
    </row>
    <row r="6" spans="1:14" x14ac:dyDescent="0.2">
      <c r="A6" s="139" t="s">
        <v>128</v>
      </c>
      <c r="B6" s="139"/>
    </row>
    <row r="7" spans="1:14" x14ac:dyDescent="0.2">
      <c r="A7" s="139" t="s">
        <v>129</v>
      </c>
      <c r="B7" s="139"/>
      <c r="C7" s="140"/>
      <c r="D7" s="140"/>
      <c r="E7" s="140"/>
      <c r="F7" s="140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511" zoomScale="70" zoomScaleNormal="70" workbookViewId="0">
      <selection activeCell="B353" sqref="B353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/>
      <c r="C2" s="46" t="s">
        <v>5449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3656</v>
      </c>
      <c r="B12" s="44" t="str">
        <f>IF(LEN(VLOOKUP(A12,'Species List'!$A:$G,2,FALSE))=0,"",VLOOKUP(A12,'Species List'!$A:$G,2,FALSE))</f>
        <v>black cherry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[FACU]</v>
      </c>
      <c r="H12" s="44">
        <f>VLOOKUP(A12,'Species List'!$A:$G,7,FALSE)</f>
        <v>0</v>
      </c>
      <c r="J12" s="113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6.6815144766147E-2</v>
      </c>
      <c r="O12" s="88">
        <f>D12*N12</f>
        <v>0.267260579064588</v>
      </c>
    </row>
    <row r="13" spans="1:15" x14ac:dyDescent="0.2">
      <c r="A13" s="109" t="s">
        <v>3685</v>
      </c>
      <c r="B13" s="44" t="str">
        <f>IF(LEN(VLOOKUP(A13,'Species List'!$A:$G,2,FALSE))=0,"",VLOOKUP(A13,'Species List'!$A:$G,2,FALSE))</f>
        <v>white oak</v>
      </c>
      <c r="C13" s="44">
        <f>IF(LEN(VLOOKUP(A13,'Species List'!$A:$G,3,FALSE))=0,"",VLOOKUP(A13,'Species List'!$A:$G,3,FALSE))</f>
        <v>7</v>
      </c>
      <c r="D13" s="103">
        <f t="shared" ref="D13:D76" si="1">VALUE(C13)</f>
        <v>7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3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6.6815144766147E-2</v>
      </c>
      <c r="O13" s="102">
        <f t="shared" ref="O13:O76" si="3">D13*N13</f>
        <v>0.46770601336302897</v>
      </c>
    </row>
    <row r="14" spans="1:15" x14ac:dyDescent="0.2">
      <c r="A14" s="110" t="s">
        <v>3538</v>
      </c>
      <c r="B14" s="44" t="str">
        <f>IF(LEN(VLOOKUP(A14,'Species List'!$A:$G,2,FALSE))=0,"",VLOOKUP(A14,'Species List'!$A:$G,2,FALSE))</f>
        <v>quaking aspen</v>
      </c>
      <c r="C14" s="44">
        <f>IF(LEN(VLOOKUP(A14,'Species List'!$A:$G,3,FALSE))=0,"",VLOOKUP(A14,'Species List'!$A:$G,3,FALSE))</f>
        <v>2</v>
      </c>
      <c r="D14" s="103">
        <f t="shared" si="1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[FAC]</v>
      </c>
      <c r="H14" s="44">
        <f>VLOOKUP(A14,'Species List'!$A:$G,7,FALSE)</f>
        <v>0</v>
      </c>
      <c r="J14" s="113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6.6815144766147E-2</v>
      </c>
      <c r="O14" s="102">
        <f t="shared" si="3"/>
        <v>0.133630289532294</v>
      </c>
    </row>
    <row r="15" spans="1:15" x14ac:dyDescent="0.2">
      <c r="A15" s="111" t="s">
        <v>3691</v>
      </c>
      <c r="B15" s="44" t="str">
        <f>IF(LEN(VLOOKUP(A15,'Species List'!$A:$G,2,FALSE))=0,"",VLOOKUP(A15,'Species List'!$A:$G,2,FALSE))</f>
        <v>northern pin oak</v>
      </c>
      <c r="C15" s="44">
        <f>IF(LEN(VLOOKUP(A15,'Species List'!$A:$G,3,FALSE))=0,"",VLOOKUP(A15,'Species List'!$A:$G,3,FALSE))</f>
        <v>5</v>
      </c>
      <c r="D15" s="103">
        <f t="shared" si="1"/>
        <v>5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3">
        <v>3</v>
      </c>
      <c r="K15" s="47" t="str">
        <f>VLOOKUP(J15,'Species List'!$H$1:$J$9,2,FALSE)</f>
        <v>&gt;25-50%</v>
      </c>
      <c r="L15" s="47">
        <f>VLOOKUP(K15,'Species List'!$I$1:$N$8,2,FALSE)</f>
        <v>37.5</v>
      </c>
      <c r="M15" s="104">
        <f t="shared" si="2"/>
        <v>37.5</v>
      </c>
      <c r="N15" s="88">
        <f t="shared" si="0"/>
        <v>0.16703786191536749</v>
      </c>
      <c r="O15" s="102">
        <f t="shared" si="3"/>
        <v>0.83518930957683746</v>
      </c>
    </row>
    <row r="16" spans="1:15" x14ac:dyDescent="0.2">
      <c r="A16" s="109" t="s">
        <v>3145</v>
      </c>
      <c r="B16" s="44" t="str">
        <f>IF(LEN(VLOOKUP(A16,'Species List'!$A:$G,2,FALSE))=0,"",VLOOKUP(A16,'Species List'!$A:$G,2,FALSE))</f>
        <v>ironwood</v>
      </c>
      <c r="C16" s="44">
        <f>IF(LEN(VLOOKUP(A16,'Species List'!$A:$G,3,FALSE))=0,"",VLOOKUP(A16,'Species List'!$A:$G,3,FALSE))</f>
        <v>4</v>
      </c>
      <c r="D16" s="103">
        <f t="shared" si="1"/>
        <v>4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[FACU-]</v>
      </c>
      <c r="H16" s="44">
        <f>VLOOKUP(A16,'Species List'!$A:$G,7,FALSE)</f>
        <v>0</v>
      </c>
      <c r="J16" s="113">
        <v>4</v>
      </c>
      <c r="K16" s="47" t="str">
        <f>VLOOKUP(J16,'Species List'!$H$1:$J$9,2,FALSE)</f>
        <v>&gt;50-75%</v>
      </c>
      <c r="L16" s="47">
        <f>VLOOKUP(K16,'Species List'!$I$1:$N$8,2,FALSE)</f>
        <v>62.5</v>
      </c>
      <c r="M16" s="104">
        <f t="shared" si="2"/>
        <v>62.5</v>
      </c>
      <c r="N16" s="88">
        <f t="shared" si="0"/>
        <v>0.27839643652561247</v>
      </c>
      <c r="O16" s="102">
        <f t="shared" si="3"/>
        <v>1.1135857461024499</v>
      </c>
    </row>
    <row r="17" spans="1:15" x14ac:dyDescent="0.2">
      <c r="A17" s="109" t="s">
        <v>3694</v>
      </c>
      <c r="B17" s="44" t="str">
        <f>IF(LEN(VLOOKUP(A17,'Species List'!$A:$G,2,FALSE))=0,"",VLOOKUP(A17,'Species List'!$A:$G,2,FALSE))</f>
        <v>bur oak</v>
      </c>
      <c r="C17" s="44">
        <f>IF(LEN(VLOOKUP(A17,'Species List'!$A:$G,3,FALSE))=0,"",VLOOKUP(A17,'Species List'!$A:$G,3,FALSE))</f>
        <v>5</v>
      </c>
      <c r="D17" s="103">
        <f t="shared" si="1"/>
        <v>5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[FAC-]</v>
      </c>
      <c r="H17" s="44">
        <f>VLOOKUP(A17,'Species List'!$A:$G,7,FALSE)</f>
        <v>0</v>
      </c>
      <c r="J17" s="113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4">
        <f t="shared" si="2"/>
        <v>15</v>
      </c>
      <c r="N17" s="88">
        <f t="shared" si="0"/>
        <v>6.6815144766147E-2</v>
      </c>
      <c r="O17" s="102">
        <f t="shared" si="3"/>
        <v>0.33407572383073503</v>
      </c>
    </row>
    <row r="18" spans="1:15" x14ac:dyDescent="0.2">
      <c r="A18" s="109" t="s">
        <v>162</v>
      </c>
      <c r="B18" s="44" t="str">
        <f>IF(LEN(VLOOKUP(A18,'Species List'!$A:$G,2,FALSE))=0,"",VLOOKUP(A18,'Species List'!$A:$G,2,FALSE))</f>
        <v>box elder</v>
      </c>
      <c r="C18" s="44">
        <f>IF(LEN(VLOOKUP(A18,'Species List'!$A:$G,3,FALSE))=0,"",VLOOKUP(A18,'Species List'!$A:$G,3,FALSE))</f>
        <v>1</v>
      </c>
      <c r="D18" s="103">
        <f t="shared" si="1"/>
        <v>1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FACW-</v>
      </c>
      <c r="H18" s="44">
        <f>VLOOKUP(A18,'Species List'!$A:$G,7,FALSE)</f>
        <v>0</v>
      </c>
      <c r="J18" s="113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88">
        <f t="shared" si="0"/>
        <v>6.6815144766147E-2</v>
      </c>
      <c r="O18" s="102">
        <f t="shared" si="3"/>
        <v>6.6815144766147E-2</v>
      </c>
    </row>
    <row r="19" spans="1:15" x14ac:dyDescent="0.2">
      <c r="A19" s="112" t="s">
        <v>3757</v>
      </c>
      <c r="B19" s="44" t="str">
        <f>IF(LEN(VLOOKUP(A19,'Species List'!$A:$G,2,FALSE))=0,"",VLOOKUP(A19,'Species List'!$A:$G,2,FALSE))</f>
        <v>common buckthorn</v>
      </c>
      <c r="C19" s="44">
        <f>IF(LEN(VLOOKUP(A19,'Species List'!$A:$G,3,FALSE))=0,"",VLOOKUP(A19,'Species List'!$A:$G,3,FALSE))</f>
        <v>0</v>
      </c>
      <c r="D19" s="103">
        <f t="shared" si="1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3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1.3363028953229399E-2</v>
      </c>
      <c r="O19" s="102">
        <f t="shared" si="3"/>
        <v>0</v>
      </c>
    </row>
    <row r="20" spans="1:15" x14ac:dyDescent="0.2">
      <c r="A20" s="109" t="s">
        <v>2145</v>
      </c>
      <c r="B20" s="44" t="str">
        <f>IF(LEN(VLOOKUP(A20,'Species List'!$A:$G,2,FALSE))=0,"",VLOOKUP(A20,'Species List'!$A:$G,2,FALSE))</f>
        <v>green ash</v>
      </c>
      <c r="C20" s="44">
        <f>IF(LEN(VLOOKUP(A20,'Species List'!$A:$G,3,FALSE))=0,"",VLOOKUP(A20,'Species List'!$A:$G,3,FALSE))</f>
        <v>2</v>
      </c>
      <c r="D20" s="103">
        <f t="shared" si="1"/>
        <v>2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13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1.3363028953229399E-2</v>
      </c>
      <c r="O20" s="102">
        <f t="shared" si="3"/>
        <v>2.6726057906458798E-2</v>
      </c>
    </row>
    <row r="21" spans="1:15" x14ac:dyDescent="0.2">
      <c r="A21" s="109" t="s">
        <v>5441</v>
      </c>
      <c r="B21" s="44" t="e">
        <f>IF(LEN(VLOOKUP(A21,'Species List'!$A:$G,2,FALSE))=0,"",VLOOKUP(A21,'Species List'!$A:$G,2,FALSE))</f>
        <v>#N/A</v>
      </c>
      <c r="C21" s="44">
        <v>3</v>
      </c>
      <c r="D21" s="103">
        <v>3</v>
      </c>
      <c r="E21" s="44" t="s">
        <v>157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3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4">
        <f t="shared" si="2"/>
        <v>15</v>
      </c>
      <c r="N21" s="88">
        <f t="shared" si="0"/>
        <v>6.6815144766147E-2</v>
      </c>
      <c r="O21" s="102">
        <f t="shared" si="3"/>
        <v>0.200445434298441</v>
      </c>
    </row>
    <row r="22" spans="1:15" x14ac:dyDescent="0.2">
      <c r="A22" s="109" t="s">
        <v>3658</v>
      </c>
      <c r="B22" s="44" t="str">
        <f>IF(LEN(VLOOKUP(A22,'Species List'!$A:$G,2,FALSE))=0,"",VLOOKUP(A22,'Species List'!$A:$G,2,FALSE))</f>
        <v>chokecherry</v>
      </c>
      <c r="C22" s="44">
        <f>IF(LEN(VLOOKUP(A22,'Species List'!$A:$G,3,FALSE))=0,"",VLOOKUP(A22,'Species List'!$A:$G,3,FALSE))</f>
        <v>3</v>
      </c>
      <c r="D22" s="103">
        <f t="shared" si="1"/>
        <v>3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[FAC-]</v>
      </c>
      <c r="H22" s="44">
        <f>VLOOKUP(A22,'Species List'!$A:$G,7,FALSE)</f>
        <v>0</v>
      </c>
      <c r="J22" s="113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1.3363028953229399E-2</v>
      </c>
      <c r="O22" s="102">
        <f t="shared" si="3"/>
        <v>4.0089086859688199E-2</v>
      </c>
    </row>
    <row r="23" spans="1:15" x14ac:dyDescent="0.2">
      <c r="A23" s="109" t="s">
        <v>5442</v>
      </c>
      <c r="B23" s="44" t="e">
        <f>IF(LEN(VLOOKUP(A23,'Species List'!$A:$G,2,FALSE))=0,"",VLOOKUP(A23,'Species List'!$A:$G,2,FALSE))</f>
        <v>#N/A</v>
      </c>
      <c r="C23" s="44">
        <v>3</v>
      </c>
      <c r="D23" s="103">
        <f t="shared" si="1"/>
        <v>3</v>
      </c>
      <c r="E23" s="44" t="s">
        <v>157</v>
      </c>
      <c r="F23" s="44" t="s">
        <v>147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113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1.3363028953229399E-2</v>
      </c>
      <c r="O23" s="102">
        <f t="shared" si="3"/>
        <v>4.0089086859688199E-2</v>
      </c>
    </row>
    <row r="24" spans="1:15" x14ac:dyDescent="0.2">
      <c r="A24" s="109" t="s">
        <v>3851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113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1.3363028953229399E-2</v>
      </c>
      <c r="O24" s="102">
        <f t="shared" si="3"/>
        <v>4.0089086859688199E-2</v>
      </c>
    </row>
    <row r="25" spans="1:15" x14ac:dyDescent="0.2">
      <c r="A25" s="109" t="s">
        <v>3858</v>
      </c>
      <c r="B25" s="44" t="str">
        <f>IF(LEN(VLOOKUP(A25,'Species List'!$A:$G,2,FALSE))=0,"",VLOOKUP(A25,'Species List'!$A:$G,2,FALSE))</f>
        <v>black raspberry</v>
      </c>
      <c r="C25" s="44">
        <f>IF(LEN(VLOOKUP(A25,'Species List'!$A:$G,3,FALSE))=0,"",VLOOKUP(A25,'Species List'!$A:$G,3,FALSE))</f>
        <v>2</v>
      </c>
      <c r="D25" s="103">
        <f t="shared" si="1"/>
        <v>2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113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1.3363028953229399E-2</v>
      </c>
      <c r="O25" s="102">
        <f t="shared" si="3"/>
        <v>2.6726057906458798E-2</v>
      </c>
    </row>
    <row r="26" spans="1:15" ht="13.2" x14ac:dyDescent="0.25">
      <c r="A26" s="36" t="s">
        <v>3838</v>
      </c>
      <c r="B26" s="44" t="str">
        <f>IF(LEN(VLOOKUP(A26,'Species List'!$A:$G,2,FALSE))=0,"",VLOOKUP(A26,'Species List'!$A:$G,2,FALSE))</f>
        <v>Allegheny blackberry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[FACU+]</v>
      </c>
      <c r="H26" s="44">
        <f>VLOOKUP(A26,'Species List'!$A:$G,7,FALSE)</f>
        <v>0</v>
      </c>
      <c r="J26" s="113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2"/>
        <v>0.5</v>
      </c>
      <c r="N26" s="88">
        <f t="shared" si="0"/>
        <v>2.2271714922048997E-3</v>
      </c>
      <c r="O26" s="102">
        <f t="shared" si="3"/>
        <v>4.4543429844097994E-3</v>
      </c>
    </row>
    <row r="27" spans="1:15" x14ac:dyDescent="0.2">
      <c r="A27" s="111" t="s">
        <v>169</v>
      </c>
      <c r="B27" s="44" t="str">
        <f>IF(LEN(VLOOKUP(A27,'Species List'!$A:$G,2,FALSE))=0,"",VLOOKUP(A27,'Species List'!$A:$G,2,FALSE))</f>
        <v>Norway maple</v>
      </c>
      <c r="C27" s="44">
        <f>IF(LEN(VLOOKUP(A27,'Species List'!$A:$G,3,FALSE))=0,"",VLOOKUP(A27,'Species List'!$A:$G,3,FALSE))</f>
        <v>0</v>
      </c>
      <c r="D27" s="103">
        <f t="shared" si="1"/>
        <v>0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UPL</v>
      </c>
      <c r="H27" s="44">
        <f>VLOOKUP(A27,'Species List'!$A:$G,7,FALSE)</f>
        <v>0</v>
      </c>
      <c r="J27" s="113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2"/>
        <v>0.5</v>
      </c>
      <c r="N27" s="88">
        <f t="shared" si="0"/>
        <v>2.2271714922048997E-3</v>
      </c>
      <c r="O27" s="102">
        <f t="shared" si="3"/>
        <v>0</v>
      </c>
    </row>
    <row r="28" spans="1:15" x14ac:dyDescent="0.2">
      <c r="A28" s="111" t="s">
        <v>5443</v>
      </c>
      <c r="B28" s="44" t="e">
        <f>IF(LEN(VLOOKUP(A28,'Species List'!$A:$G,2,FALSE))=0,"",VLOOKUP(A28,'Species List'!$A:$G,2,FALSE))</f>
        <v>#N/A</v>
      </c>
      <c r="C28" s="44">
        <v>0</v>
      </c>
      <c r="D28" s="103">
        <v>0</v>
      </c>
      <c r="E28" s="44" t="e">
        <f>IF(LEN(VLOOKUP(A28,'Species List'!$A:$G,4,FALSE))=0,"",VLOOKUP(A28,'Species List'!$A:$G,4,FALSE))</f>
        <v>#N/A</v>
      </c>
      <c r="F28" s="44" t="s">
        <v>152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113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1.3363028953229399E-2</v>
      </c>
      <c r="O28" s="102">
        <f t="shared" si="3"/>
        <v>0</v>
      </c>
    </row>
    <row r="29" spans="1:15" x14ac:dyDescent="0.2">
      <c r="A29" s="111" t="s">
        <v>1251</v>
      </c>
      <c r="B29" s="44" t="str">
        <f>IF(LEN(VLOOKUP(A29,'Species List'!$A:$G,2,FALSE))=0,"",VLOOKUP(A29,'Species List'!$A:$G,2,FALSE))</f>
        <v>hackberry</v>
      </c>
      <c r="C29" s="44">
        <f>IF(LEN(VLOOKUP(A29,'Species List'!$A:$G,3,FALSE))=0,"",VLOOKUP(A29,'Species List'!$A:$G,3,FALSE))</f>
        <v>3</v>
      </c>
      <c r="D29" s="103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[FAC-]</v>
      </c>
      <c r="H29" s="44">
        <f>VLOOKUP(A29,'Species List'!$A:$G,7,FALSE)</f>
        <v>0</v>
      </c>
      <c r="J29" s="113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1.3363028953229399E-2</v>
      </c>
      <c r="O29" s="102">
        <f t="shared" si="3"/>
        <v>4.0089086859688199E-2</v>
      </c>
    </row>
    <row r="30" spans="1:15" x14ac:dyDescent="0.2">
      <c r="A30" s="111" t="s">
        <v>5444</v>
      </c>
      <c r="B30" s="44" t="e">
        <f>IF(LEN(VLOOKUP(A30,'Species List'!$A:$G,2,FALSE))=0,"",VLOOKUP(A30,'Species List'!$A:$G,2,FALSE))</f>
        <v>#N/A</v>
      </c>
      <c r="C30" s="44">
        <v>3</v>
      </c>
      <c r="D30" s="103">
        <f t="shared" si="1"/>
        <v>3</v>
      </c>
      <c r="E30" s="44" t="e">
        <f>IF(LEN(VLOOKUP(A30,'Species List'!$A:$G,4,FALSE))=0,"",VLOOKUP(A30,'Species List'!$A:$G,4,FALSE))</f>
        <v>#N/A</v>
      </c>
      <c r="F30" s="44" t="s">
        <v>147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113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1.3363028953229399E-2</v>
      </c>
      <c r="O30" s="102">
        <f t="shared" si="3"/>
        <v>4.0089086859688199E-2</v>
      </c>
    </row>
    <row r="31" spans="1:15" x14ac:dyDescent="0.2">
      <c r="A31" s="111" t="s">
        <v>3863</v>
      </c>
      <c r="B31" s="44" t="str">
        <f>IF(LEN(VLOOKUP(A31,'Species List'!$A:$G,2,FALSE))=0,"",VLOOKUP(A31,'Species List'!$A:$G,2,FALSE))</f>
        <v>dwarf raspberry</v>
      </c>
      <c r="C31" s="44">
        <f>IF(LEN(VLOOKUP(A31,'Species List'!$A:$G,3,FALSE))=0,"",VLOOKUP(A31,'Species List'!$A:$G,3,FALSE))</f>
        <v>6</v>
      </c>
      <c r="D31" s="103">
        <f t="shared" si="1"/>
        <v>6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[FACW+]</v>
      </c>
      <c r="H31" s="44">
        <f>VLOOKUP(A31,'Species List'!$A:$G,7,FALSE)</f>
        <v>0</v>
      </c>
      <c r="J31" s="113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2"/>
        <v>3</v>
      </c>
      <c r="N31" s="88">
        <f t="shared" si="0"/>
        <v>1.3363028953229399E-2</v>
      </c>
      <c r="O31" s="102">
        <f t="shared" si="3"/>
        <v>8.0178173719376397E-2</v>
      </c>
    </row>
    <row r="32" spans="1:15" x14ac:dyDescent="0.2">
      <c r="A32" s="111" t="s">
        <v>2752</v>
      </c>
      <c r="B32" s="44" t="str">
        <f>IF(LEN(VLOOKUP(A32,'Species List'!$A:$G,2,FALSE))=0,"",VLOOKUP(A32,'Species List'!$A:$G,2,FALSE))</f>
        <v>wild honeysuckle</v>
      </c>
      <c r="C32" s="44">
        <f>IF(LEN(VLOOKUP(A32,'Species List'!$A:$G,3,FALSE))=0,"",VLOOKUP(A32,'Species List'!$A:$G,3,FALSE))</f>
        <v>5</v>
      </c>
      <c r="D32" s="103">
        <f t="shared" si="1"/>
        <v>5</v>
      </c>
      <c r="E32" s="44" t="str">
        <f>IF(LEN(VLOOKUP(A32,'Species List'!$A:$G,4,FALSE))=0,"",VLOOKUP(A32,'Species List'!$A:$G,4,FALSE))</f>
        <v>C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3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4">
        <f t="shared" si="2"/>
        <v>0.5</v>
      </c>
      <c r="N32" s="88">
        <f t="shared" si="0"/>
        <v>2.2271714922048997E-3</v>
      </c>
      <c r="O32" s="102">
        <f t="shared" si="3"/>
        <v>1.1135857461024499E-2</v>
      </c>
    </row>
    <row r="33" spans="1:15" x14ac:dyDescent="0.2">
      <c r="A33" s="111" t="s">
        <v>4502</v>
      </c>
      <c r="B33" s="44" t="str">
        <f>IF(LEN(VLOOKUP(A33,'Species List'!$A:$G,2,FALSE))=0,"",VLOOKUP(A33,'Species List'!$A:$G,2,FALSE))</f>
        <v>basswood</v>
      </c>
      <c r="C33" s="44">
        <f>IF(LEN(VLOOKUP(A33,'Species List'!$A:$G,3,FALSE))=0,"",VLOOKUP(A33,'Species List'!$A:$G,3,FALSE))</f>
        <v>5</v>
      </c>
      <c r="D33" s="103">
        <f t="shared" si="1"/>
        <v>5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[FACU]</v>
      </c>
      <c r="H33" s="44">
        <f>VLOOKUP(A33,'Species List'!$A:$G,7,FALSE)</f>
        <v>0</v>
      </c>
      <c r="J33" s="113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2"/>
        <v>3</v>
      </c>
      <c r="N33" s="88">
        <f t="shared" si="0"/>
        <v>1.3363028953229399E-2</v>
      </c>
      <c r="O33" s="102">
        <f t="shared" si="3"/>
        <v>6.6815144766147E-2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224.5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9" workbookViewId="0">
      <selection activeCell="H12" sqref="H1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5445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4" t="s">
        <v>746</v>
      </c>
      <c r="B12" s="44" t="str">
        <f>IF(LEN(VLOOKUP(A12,'Species List'!$A:$G,2,FALSE))=0,"",VLOOKUP(A12,'Species List'!$A:$G,2,FALSE))</f>
        <v>blunt-lobed grapefern</v>
      </c>
      <c r="C12" s="44">
        <f>IF(LEN(VLOOKUP(A12,'Species List'!$A:$G,3,FALSE))=0,"",VLOOKUP(A12,'Species List'!$A:$G,3,FALSE))</f>
        <v>7</v>
      </c>
      <c r="D12" s="103">
        <f>VALUE(C12)</f>
        <v>7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[FACW-]</v>
      </c>
      <c r="H12" s="44" t="str">
        <f>VLOOKUP(A12,'Species List'!$A:$G,7,FALSE)</f>
        <v>T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5.128205128205128E-2</v>
      </c>
      <c r="O12" s="88">
        <f>D12*N12</f>
        <v>0.35897435897435898</v>
      </c>
    </row>
    <row r="13" spans="1:15" x14ac:dyDescent="0.2">
      <c r="A13" s="109" t="s">
        <v>2847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5</v>
      </c>
      <c r="D13" s="103">
        <f t="shared" ref="D13:D76" si="0">VALUE(C13)</f>
        <v>5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8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5.128205128205128E-2</v>
      </c>
      <c r="O13" s="102">
        <f t="shared" ref="O13:O76" si="3">D13*N13</f>
        <v>0.25641025641025639</v>
      </c>
    </row>
    <row r="14" spans="1:15" x14ac:dyDescent="0.2">
      <c r="A14" s="109" t="s">
        <v>2846</v>
      </c>
      <c r="B14" s="44" t="str">
        <f>IF(LEN(VLOOKUP(A14,'Species List'!$A:$G,2,FALSE))=0,"",VLOOKUP(A14,'Species List'!$A:$G,2,FALSE))</f>
        <v>Canada mayflower</v>
      </c>
      <c r="C14" s="44">
        <f>IF(LEN(VLOOKUP(A14,'Species List'!$A:$G,3,FALSE))=0,"",VLOOKUP(A14,'Species List'!$A:$G,3,FALSE))</f>
        <v>5</v>
      </c>
      <c r="D14" s="103">
        <f t="shared" si="0"/>
        <v>5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118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5.128205128205128E-2</v>
      </c>
      <c r="O14" s="102">
        <f t="shared" si="3"/>
        <v>0.25641025641025639</v>
      </c>
    </row>
    <row r="15" spans="1:15" x14ac:dyDescent="0.2">
      <c r="A15" s="109" t="s">
        <v>1366</v>
      </c>
      <c r="B15" s="44" t="str">
        <f>IF(LEN(VLOOKUP(A15,'Species List'!$A:$G,2,FALSE))=0,"",VLOOKUP(A15,'Species List'!$A:$G,2,FALSE))</f>
        <v>common enchanter's nightshade</v>
      </c>
      <c r="C15" s="44">
        <f>IF(LEN(VLOOKUP(A15,'Species List'!$A:$G,3,FALSE))=0,"",VLOOKUP(A15,'Species List'!$A:$G,3,FALSE))</f>
        <v>2</v>
      </c>
      <c r="D15" s="103">
        <f t="shared" si="0"/>
        <v>2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[FACU]</v>
      </c>
      <c r="H15" s="44">
        <f>VLOOKUP(A15,'Species List'!$A:$G,7,FALSE)</f>
        <v>0</v>
      </c>
      <c r="J15" s="118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5.128205128205128E-2</v>
      </c>
      <c r="O15" s="102">
        <f t="shared" si="3"/>
        <v>0.10256410256410256</v>
      </c>
    </row>
    <row r="16" spans="1:15" x14ac:dyDescent="0.2">
      <c r="A16" s="109" t="s">
        <v>1659</v>
      </c>
      <c r="B16" s="44" t="str">
        <f>IF(LEN(VLOOKUP(A16,'Species List'!$A:$G,2,FALSE))=0,"",VLOOKUP(A16,'Species List'!$A:$G,2,FALSE))</f>
        <v>pointed-leaved tick trefoil</v>
      </c>
      <c r="C16" s="44">
        <v>6</v>
      </c>
      <c r="D16" s="103">
        <f t="shared" si="0"/>
        <v>6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/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8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5.128205128205128E-2</v>
      </c>
      <c r="O16" s="102">
        <f t="shared" si="3"/>
        <v>0.30769230769230771</v>
      </c>
    </row>
    <row r="17" spans="1:15" x14ac:dyDescent="0.2">
      <c r="A17" s="109" t="s">
        <v>4483</v>
      </c>
      <c r="B17" s="44" t="str">
        <f>IF(LEN(VLOOKUP(A17,'Species List'!$A:$G,2,FALSE))=0,"",VLOOKUP(A17,'Species List'!$A:$G,2,FALSE))</f>
        <v>early meadow-rue</v>
      </c>
      <c r="C17" s="44">
        <f>IF(LEN(VLOOKUP(A17,'Species List'!$A:$G,3,FALSE))=0,"",VLOOKUP(A17,'Species List'!$A:$G,3,FALSE))</f>
        <v>5</v>
      </c>
      <c r="D17" s="103">
        <f t="shared" si="0"/>
        <v>5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FACU+</v>
      </c>
      <c r="H17" s="44">
        <f>VLOOKUP(A17,'Species List'!$A:$G,7,FALSE)</f>
        <v>0</v>
      </c>
      <c r="J17" s="118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5.128205128205128E-2</v>
      </c>
      <c r="O17" s="102">
        <f t="shared" si="3"/>
        <v>0.25641025641025639</v>
      </c>
    </row>
    <row r="18" spans="1:15" x14ac:dyDescent="0.2">
      <c r="A18" s="109" t="s">
        <v>234</v>
      </c>
      <c r="B18" s="44" t="str">
        <f>IF(LEN(VLOOKUP(A18,'Species List'!$A:$G,2,FALSE))=0,"",VLOOKUP(A18,'Species List'!$A:$G,2,FALSE))</f>
        <v>white snakeroot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5.128205128205128E-2</v>
      </c>
      <c r="O18" s="102">
        <f t="shared" si="3"/>
        <v>5.128205128205128E-2</v>
      </c>
    </row>
    <row r="19" spans="1:15" x14ac:dyDescent="0.2">
      <c r="A19" s="109" t="s">
        <v>4451</v>
      </c>
      <c r="B19" s="44" t="str">
        <f>IF(LEN(VLOOKUP(A19,'Species List'!$A:$G,2,FALSE))=0,"",VLOOKUP(A19,'Species List'!$A:$G,2,FALSE))</f>
        <v>tail-leaved aster</v>
      </c>
      <c r="C19" s="44">
        <f>IF(LEN(VLOOKUP(A19,'Species List'!$A:$G,3,FALSE))=0,"",VLOOKUP(A19,'Species List'!$A:$G,3,FALSE))</f>
        <v>3</v>
      </c>
      <c r="D19" s="103">
        <f t="shared" si="0"/>
        <v>3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118" t="s">
        <v>5420</v>
      </c>
      <c r="K19" s="47" t="str">
        <f>VLOOKUP(J19,'Species List'!$H$1:$J$9,2,FALSE)</f>
        <v>&gt;0-1%</v>
      </c>
      <c r="L19" s="47">
        <f>VLOOKUP(K19,'Species List'!$I$1:$N$8,2,FALSE)</f>
        <v>0.5</v>
      </c>
      <c r="M19" s="104">
        <f t="shared" si="1"/>
        <v>0.5</v>
      </c>
      <c r="N19" s="102">
        <f t="shared" si="2"/>
        <v>8.5470085470085479E-3</v>
      </c>
      <c r="O19" s="102">
        <f t="shared" si="3"/>
        <v>2.5641025641025644E-2</v>
      </c>
    </row>
    <row r="20" spans="1:15" x14ac:dyDescent="0.2">
      <c r="A20" s="109" t="s">
        <v>4605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1</v>
      </c>
      <c r="D20" s="103">
        <f t="shared" si="0"/>
        <v>1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19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5.128205128205128E-2</v>
      </c>
      <c r="O20" s="102">
        <f t="shared" si="3"/>
        <v>5.128205128205128E-2</v>
      </c>
    </row>
    <row r="21" spans="1:15" x14ac:dyDescent="0.2">
      <c r="A21" s="109" t="s">
        <v>359</v>
      </c>
      <c r="B21" s="44" t="str">
        <f>IF(LEN(VLOOKUP(A21,'Species List'!$A:$G,2,FALSE))=0,"",VLOOKUP(A21,'Species List'!$A:$G,2,FALSE))</f>
        <v>hog peanut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</v>
      </c>
      <c r="H21" s="44">
        <f>VLOOKUP(A21,'Species List'!$A:$G,7,FALSE)</f>
        <v>0</v>
      </c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5.128205128205128E-2</v>
      </c>
      <c r="O21" s="102">
        <f t="shared" si="3"/>
        <v>0.10256410256410256</v>
      </c>
    </row>
    <row r="22" spans="1:15" x14ac:dyDescent="0.2">
      <c r="A22" s="109" t="s">
        <v>2241</v>
      </c>
      <c r="B22" s="44" t="str">
        <f>IF(LEN(VLOOKUP(A22,'Species List'!$A:$G,2,FALSE))=0,"",VLOOKUP(A22,'Species List'!$A:$G,2,FALSE))</f>
        <v>white avens</v>
      </c>
      <c r="C22" s="44">
        <f>IF(LEN(VLOOKUP(A22,'Species List'!$A:$G,3,FALSE))=0,"",VLOOKUP(A22,'Species List'!$A:$G,3,FALSE))</f>
        <v>2</v>
      </c>
      <c r="D22" s="103">
        <f t="shared" si="0"/>
        <v>2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5.128205128205128E-2</v>
      </c>
      <c r="O22" s="102">
        <f t="shared" si="3"/>
        <v>0.10256410256410256</v>
      </c>
    </row>
    <row r="23" spans="1:15" x14ac:dyDescent="0.2">
      <c r="A23" s="109" t="s">
        <v>2234</v>
      </c>
      <c r="B23" s="44" t="str">
        <f>IF(LEN(VLOOKUP(A23,'Species List'!$A:$G,2,FALSE))=0,"",VLOOKUP(A23,'Species List'!$A:$G,2,FALSE))</f>
        <v>wild geranium</v>
      </c>
      <c r="C23" s="44">
        <f>IF(LEN(VLOOKUP(A23,'Species List'!$A:$G,3,FALSE))=0,"",VLOOKUP(A23,'Species List'!$A:$G,3,FALSE))</f>
        <v>4</v>
      </c>
      <c r="D23" s="103">
        <f t="shared" si="0"/>
        <v>4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5.128205128205128E-2</v>
      </c>
      <c r="O23" s="102">
        <f t="shared" si="3"/>
        <v>0.20512820512820512</v>
      </c>
    </row>
    <row r="24" spans="1:15" x14ac:dyDescent="0.2">
      <c r="A24" s="112" t="s">
        <v>4220</v>
      </c>
      <c r="B24" s="44" t="str">
        <f>IF(LEN(VLOOKUP(A24,'Species List'!$A:$G,2,FALSE))=0,"",VLOOKUP(A24,'Species List'!$A:$G,2,FALSE))</f>
        <v>zigzag goldenrod</v>
      </c>
      <c r="C24" s="44">
        <f>IF(LEN(VLOOKUP(A24,'Species List'!$A:$G,3,FALSE))=0,"",VLOOKUP(A24,'Species List'!$A:$G,3,FALSE))</f>
        <v>5</v>
      </c>
      <c r="D24" s="103">
        <f t="shared" si="0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118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5.128205128205128E-2</v>
      </c>
      <c r="O24" s="102">
        <f t="shared" si="3"/>
        <v>0.25641025641025639</v>
      </c>
    </row>
    <row r="25" spans="1:15" x14ac:dyDescent="0.2">
      <c r="A25" s="115" t="s">
        <v>1774</v>
      </c>
      <c r="B25" s="44" t="str">
        <f>IF(LEN(VLOOKUP(A25,'Species List'!$A:$G,2,FALSE))=0,"",VLOOKUP(A25,'Species List'!$A:$G,2,FALSE))</f>
        <v>spinulose shield fern</v>
      </c>
      <c r="C25" s="44">
        <f>IF(LEN(VLOOKUP(A25,'Species List'!$A:$G,3,FALSE))=0,"",VLOOKUP(A25,'Species List'!$A:$G,3,FALSE))</f>
        <v>6</v>
      </c>
      <c r="D25" s="103">
        <f t="shared" si="0"/>
        <v>6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[FACW-]</v>
      </c>
      <c r="H25" s="44">
        <f>VLOOKUP(A25,'Species List'!$A:$G,7,FALSE)</f>
        <v>0</v>
      </c>
      <c r="J25" s="120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5.128205128205128E-2</v>
      </c>
      <c r="O25" s="102">
        <f t="shared" si="3"/>
        <v>0.30769230769230771</v>
      </c>
    </row>
    <row r="26" spans="1:15" x14ac:dyDescent="0.2">
      <c r="A26" s="109" t="s">
        <v>2302</v>
      </c>
      <c r="B26" s="44" t="str">
        <f>IF(LEN(VLOOKUP(A26,'Species List'!$A:$G,2,FALSE))=0,"",VLOOKUP(A26,'Species List'!$A:$G,2,FALSE))</f>
        <v>Virginia stickseed</v>
      </c>
      <c r="C26" s="44">
        <f>IF(LEN(VLOOKUP(A26,'Species List'!$A:$G,3,FALSE))=0,"",VLOOKUP(A26,'Species List'!$A:$G,3,FALSE))</f>
        <v>1</v>
      </c>
      <c r="D26" s="103">
        <f t="shared" si="0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18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5.128205128205128E-2</v>
      </c>
      <c r="O26" s="102">
        <f t="shared" si="3"/>
        <v>5.128205128205128E-2</v>
      </c>
    </row>
    <row r="27" spans="1:15" x14ac:dyDescent="0.2">
      <c r="A27" s="116" t="s">
        <v>3140</v>
      </c>
      <c r="B27" s="44" t="str">
        <f>IF(LEN(VLOOKUP(A27,'Species List'!$A:$G,2,FALSE))=0,"",VLOOKUP(A27,'Species List'!$A:$G,2,FALSE))</f>
        <v>interrupted fern</v>
      </c>
      <c r="C27" s="44">
        <f>IF(LEN(VLOOKUP(A27,'Species List'!$A:$G,3,FALSE))=0,"",VLOOKUP(A27,'Species List'!$A:$G,3,FALSE))</f>
        <v>6</v>
      </c>
      <c r="D27" s="103">
        <f t="shared" si="0"/>
        <v>6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FAC+</v>
      </c>
      <c r="H27" s="44">
        <f>VLOOKUP(A27,'Species List'!$A:$G,7,FALSE)</f>
        <v>0</v>
      </c>
      <c r="J27" s="118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5.128205128205128E-2</v>
      </c>
      <c r="O27" s="102">
        <f t="shared" si="3"/>
        <v>0.30769230769230771</v>
      </c>
    </row>
    <row r="28" spans="1:15" x14ac:dyDescent="0.2">
      <c r="A28" s="109" t="s">
        <v>4510</v>
      </c>
      <c r="B28" s="44" t="str">
        <f>IF(LEN(VLOOKUP(A28,'Species List'!$A:$G,2,FALSE))=0,"",VLOOKUP(A28,'Species List'!$A:$G,2,FALSE))</f>
        <v>Japanese Hedge Parsley</v>
      </c>
      <c r="C28" s="44">
        <f>IF(LEN(VLOOKUP(A28,'Species List'!$A:$G,3,FALSE))=0,"",VLOOKUP(A28,'Species List'!$A:$G,3,FALSE))</f>
        <v>0</v>
      </c>
      <c r="D28" s="103">
        <f t="shared" si="0"/>
        <v>0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Introduced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8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1"/>
        <v>0.5</v>
      </c>
      <c r="N28" s="102">
        <f t="shared" si="2"/>
        <v>8.5470085470085479E-3</v>
      </c>
      <c r="O28" s="102">
        <f t="shared" si="3"/>
        <v>0</v>
      </c>
    </row>
    <row r="29" spans="1:15" x14ac:dyDescent="0.2">
      <c r="A29" s="109" t="s">
        <v>2187</v>
      </c>
      <c r="B29" s="44" t="str">
        <f>IF(LEN(VLOOKUP(A29,'Species List'!$A:$G,2,FALSE))=0,"",VLOOKUP(A29,'Species List'!$A:$G,2,FALSE))</f>
        <v/>
      </c>
      <c r="C29" s="44">
        <f>IF(LEN(VLOOKUP(A29,'Species List'!$A:$G,3,FALSE))=0,"",VLOOKUP(A29,'Species List'!$A:$G,3,FALSE))</f>
        <v>4</v>
      </c>
      <c r="D29" s="103">
        <f t="shared" si="0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FACU+</v>
      </c>
      <c r="H29" s="44">
        <f>VLOOKUP(A29,'Species List'!$A:$G,7,FALSE)</f>
        <v>0</v>
      </c>
      <c r="J29" s="118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1"/>
        <v>0.5</v>
      </c>
      <c r="N29" s="102">
        <f t="shared" si="2"/>
        <v>8.5470085470085479E-3</v>
      </c>
      <c r="O29" s="102">
        <f t="shared" si="3"/>
        <v>3.4188034188034191E-2</v>
      </c>
    </row>
    <row r="30" spans="1:15" x14ac:dyDescent="0.2">
      <c r="A30" s="109" t="s">
        <v>4430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6</v>
      </c>
      <c r="D30" s="103">
        <f t="shared" si="0"/>
        <v>6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</v>
      </c>
      <c r="H30" s="44">
        <f>VLOOKUP(A30,'Species List'!$A:$G,7,FALSE)</f>
        <v>0</v>
      </c>
      <c r="J30" s="12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5.128205128205128E-2</v>
      </c>
      <c r="O30" s="102">
        <f t="shared" si="3"/>
        <v>0.30769230769230771</v>
      </c>
    </row>
    <row r="31" spans="1:15" x14ac:dyDescent="0.2">
      <c r="A31" s="109" t="s">
        <v>3492</v>
      </c>
      <c r="B31" s="44" t="str">
        <f>IF(LEN(VLOOKUP(A31,'Species List'!$A:$G,2,FALSE))=0,"",VLOOKUP(A31,'Species List'!$A:$G,2,FALSE))</f>
        <v>giant Solomon's seal</v>
      </c>
      <c r="C31" s="44">
        <f>IF(LEN(VLOOKUP(A31,'Species List'!$A:$G,3,FALSE))=0,"",VLOOKUP(A31,'Species List'!$A:$G,3,FALSE))</f>
        <v>4</v>
      </c>
      <c r="D31" s="103">
        <f t="shared" si="0"/>
        <v>4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[FACU]</v>
      </c>
      <c r="H31" s="44">
        <f>VLOOKUP(A31,'Species List'!$A:$G,7,FALSE)</f>
        <v>0</v>
      </c>
      <c r="J31" s="12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5.128205128205128E-2</v>
      </c>
      <c r="O31" s="102">
        <f t="shared" si="3"/>
        <v>0.20512820512820512</v>
      </c>
    </row>
    <row r="32" spans="1:15" x14ac:dyDescent="0.2">
      <c r="A32" s="109" t="s">
        <v>5446</v>
      </c>
      <c r="B32" s="44" t="e">
        <f>IF(LEN(VLOOKUP(A32,'Species List'!$A:$G,2,FALSE))=0,"",VLOOKUP(A32,'Species List'!$A:$G,2,FALSE))</f>
        <v>#N/A</v>
      </c>
      <c r="C32" s="44">
        <v>3</v>
      </c>
      <c r="D32" s="103">
        <f t="shared" si="0"/>
        <v>3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121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5.128205128205128E-2</v>
      </c>
      <c r="O32" s="102">
        <f t="shared" si="3"/>
        <v>0.15384615384615385</v>
      </c>
    </row>
    <row r="33" spans="1:15" x14ac:dyDescent="0.2">
      <c r="A33" s="117" t="s">
        <v>199</v>
      </c>
      <c r="B33" s="44" t="str">
        <f>IF(LEN(VLOOKUP(A33,'Species List'!$A:$G,2,FALSE))=0,"",VLOOKUP(A33,'Species List'!$A:$G,2,FALSE))</f>
        <v>red baneberry</v>
      </c>
      <c r="C33" s="44">
        <f>IF(LEN(VLOOKUP(A33,'Species List'!$A:$G,3,FALSE))=0,"",VLOOKUP(A33,'Species List'!$A:$G,3,FALSE))</f>
        <v>7</v>
      </c>
      <c r="D33" s="103">
        <f t="shared" si="0"/>
        <v>7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FACU</v>
      </c>
      <c r="H33" s="44">
        <f>VLOOKUP(A33,'Species List'!$A:$G,7,FALSE)</f>
        <v>0</v>
      </c>
      <c r="J33" s="12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5.128205128205128E-2</v>
      </c>
      <c r="O33" s="102">
        <f t="shared" si="3"/>
        <v>0.35897435897435898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2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58.5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J13" sqref="J1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4"/>
      <c r="C7" s="144"/>
      <c r="D7" s="144"/>
      <c r="E7" s="144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5447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ht="14.4" x14ac:dyDescent="0.3">
      <c r="A12" s="122" t="s">
        <v>5448</v>
      </c>
      <c r="B12" s="44" t="e">
        <f>IF(LEN(VLOOKUP(A12,'Species List'!$A:$G,2,FALSE))=0,"",VLOOKUP(A12,'Species List'!$A:$G,2,FALSE))</f>
        <v>#N/A</v>
      </c>
      <c r="C12" s="44">
        <v>3</v>
      </c>
      <c r="D12" s="103">
        <v>3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95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1</v>
      </c>
      <c r="O12" s="31">
        <f>D12*N12</f>
        <v>3</v>
      </c>
    </row>
    <row r="13" spans="1:15" x14ac:dyDescent="0.2">
      <c r="A13" s="105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103" t="e">
        <f t="shared" ref="D13:D18" si="1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/>
      <c r="K13" s="47" t="e">
        <f>VLOOKUP(J13,'Species List'!$H$1:$J$9,2,FALSE)</f>
        <v>#N/A</v>
      </c>
      <c r="L13" s="47" t="e">
        <f>VLOOKUP(K13,'Species List'!$I$1:$N$8,2,FALSE)</f>
        <v>#N/A</v>
      </c>
      <c r="M13" s="104" t="e">
        <f t="shared" ref="M13:M76" si="2">VALUE(L13)</f>
        <v>#N/A</v>
      </c>
      <c r="N13" s="102" t="e">
        <f t="shared" si="0"/>
        <v>#N/A</v>
      </c>
      <c r="O13" s="102" t="e">
        <f t="shared" ref="O13:O76" si="3">D13*N13</f>
        <v>#N/A</v>
      </c>
    </row>
    <row r="14" spans="1:15" x14ac:dyDescent="0.2">
      <c r="A14" s="95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1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2"/>
        <v>#N/A</v>
      </c>
      <c r="N14" s="102" t="e">
        <f t="shared" si="0"/>
        <v>#N/A</v>
      </c>
      <c r="O14" s="102" t="e">
        <f t="shared" si="3"/>
        <v>#N/A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102" t="e">
        <f t="shared" si="0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3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3" sqref="E13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8" t="s">
        <v>4840</v>
      </c>
      <c r="B1" s="148"/>
      <c r="C1" s="148"/>
      <c r="D1" s="148"/>
      <c r="E1" s="148"/>
      <c r="F1" s="148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7">
        <f>COUNTIF(Woody!$F$10:$F$149,"Native")</f>
        <v>19</v>
      </c>
      <c r="C4" s="107">
        <f>COUNTIF(Forbs!$F$10:$F$148,"Native")</f>
        <v>19</v>
      </c>
      <c r="D4" s="107">
        <f>COUNTIF(Grasses!$F$10:$F$149,"Native")</f>
        <v>0</v>
      </c>
      <c r="E4" s="107">
        <f>AVERAGE(B4:D4)</f>
        <v>12.666666666666666</v>
      </c>
      <c r="F4" s="107">
        <f>SUM(B4:D4)</f>
        <v>38</v>
      </c>
    </row>
    <row r="5" spans="1:6" ht="17.399999999999999" x14ac:dyDescent="0.3">
      <c r="A5" s="53" t="s">
        <v>4845</v>
      </c>
      <c r="B5" s="107">
        <f>COUNTIF(Woody!$F10:$F199,"Introduced")</f>
        <v>3</v>
      </c>
      <c r="C5" s="107">
        <f>COUNTIF(Forbs!$F10:$F199,"Introduced")</f>
        <v>1</v>
      </c>
      <c r="D5" s="107">
        <f>COUNTIF(Grasses!$F10:$F199,"Introduced")</f>
        <v>0</v>
      </c>
      <c r="E5" s="107">
        <f t="shared" ref="E5:E6" si="0">AVERAGE(B5:D5)</f>
        <v>1.3333333333333333</v>
      </c>
      <c r="F5" s="107">
        <f>SUM(B5:D5)</f>
        <v>4</v>
      </c>
    </row>
    <row r="6" spans="1:6" s="83" customFormat="1" ht="19.8" x14ac:dyDescent="0.4">
      <c r="A6" s="53" t="s">
        <v>5422</v>
      </c>
      <c r="B6" s="107">
        <f>SUM(B4:B5)</f>
        <v>22</v>
      </c>
      <c r="C6" s="107">
        <f>SUM(C4:C5)</f>
        <v>20</v>
      </c>
      <c r="D6" s="107">
        <f>SUM(D4:D5)</f>
        <v>0</v>
      </c>
      <c r="E6" s="107">
        <f t="shared" si="0"/>
        <v>14</v>
      </c>
      <c r="F6" s="107">
        <f>SUM(B6:D6)</f>
        <v>42</v>
      </c>
    </row>
    <row r="7" spans="1:6" ht="17.399999999999999" x14ac:dyDescent="0.3">
      <c r="A7" s="53" t="s">
        <v>4846</v>
      </c>
      <c r="B7" s="107">
        <f>AVERAGEIF(Woody!D12:D150,"&gt;0")</f>
        <v>3.5789473684210527</v>
      </c>
      <c r="C7" s="107">
        <f>AVERAGEIF(Forbs!D12:D150,"&gt;0")</f>
        <v>4.0476190476190474</v>
      </c>
      <c r="D7" s="107">
        <f>AVERAGEIF(Grasses!D12:D150,"&gt;0")</f>
        <v>3</v>
      </c>
      <c r="E7" s="107">
        <f>AVERAGE(B7:D7)</f>
        <v>3.5421888053467003</v>
      </c>
      <c r="F7" s="107">
        <f>(SUMIF(Woody!D12:D150,"&gt;0")+SUMIF(Forbs!D12:D150,"&gt;0")+SUMIF(Grasses!D12:D150,"&gt;0"))/(COUNTIF(Woody!D12:D150,"&gt;0")+COUNTIF(Forbs!D12:D150,"&gt;0")+COUNTIF(Grasses!D12:D150,"&gt;0"))</f>
        <v>3.8048780487804876</v>
      </c>
    </row>
    <row r="8" spans="1:6" s="31" customFormat="1" ht="19.8" x14ac:dyDescent="0.4">
      <c r="A8" s="53" t="s">
        <v>5423</v>
      </c>
      <c r="B8" s="107">
        <f>AVERAGEIF(Woody!D12:D150,"&gt;=0")</f>
        <v>3.0909090909090908</v>
      </c>
      <c r="C8" s="107">
        <f>AVERAGEIF(Forbs!D12:D150,"&gt;=0")</f>
        <v>3.8636363636363638</v>
      </c>
      <c r="D8" s="107">
        <f>AVERAGEIF(Grasses!D12:D150,"&gt;=0")</f>
        <v>3</v>
      </c>
      <c r="E8" s="107">
        <f>AVERAGE(B8:D8)</f>
        <v>3.3181818181818183</v>
      </c>
      <c r="F8" s="107">
        <f>(SUMIF(Woody!D12:D150,"&gt;=0")+SUMIF(Forbs!D12:D150,"&gt;=0")+SUMIF(Grasses!D12:D150,"&gt;=0"))/(COUNTIF(Woody!D12:D150,"&gt;=0")+COUNTIF(Forbs!D12:D150,"&gt;=0")+COUNTIF(Grasses!D12:D150,"&gt;=0"))</f>
        <v>3.4666666666666668</v>
      </c>
    </row>
    <row r="9" spans="1:6" ht="17.399999999999999" x14ac:dyDescent="0.3">
      <c r="A9" s="53" t="s">
        <v>4839</v>
      </c>
      <c r="B9" s="107">
        <f>SQRT(B4)*B7</f>
        <v>15.600269903198202</v>
      </c>
      <c r="C9" s="107">
        <f>SQRT(C4)*C7</f>
        <v>17.643162390521773</v>
      </c>
      <c r="D9" s="107">
        <f>SQRT(D4)*D7</f>
        <v>0</v>
      </c>
      <c r="E9" s="107">
        <f>SQRT(E4)*E7</f>
        <v>12.606742352718674</v>
      </c>
      <c r="F9" s="107">
        <f>SQRT(F4)*F7</f>
        <v>23.454843523491714</v>
      </c>
    </row>
    <row r="10" spans="1:6" s="84" customFormat="1" ht="19.8" x14ac:dyDescent="0.4">
      <c r="A10" s="53" t="s">
        <v>5424</v>
      </c>
      <c r="B10" s="107">
        <f>SQRT(B6)*B8</f>
        <v>14.49764871218151</v>
      </c>
      <c r="C10" s="107">
        <f>SQRT(C6)*C8</f>
        <v>17.278707098862014</v>
      </c>
      <c r="D10" s="107">
        <f>SQRT(D6)*D8</f>
        <v>0</v>
      </c>
      <c r="E10" s="107">
        <f>SQRT(E6)*E8</f>
        <v>12.415499510658988</v>
      </c>
      <c r="F10" s="107">
        <f>SQRT(F6)*F8</f>
        <v>22.466567754480582</v>
      </c>
    </row>
    <row r="11" spans="1:6" ht="17.399999999999999" x14ac:dyDescent="0.3">
      <c r="A11" s="53" t="s">
        <v>4847</v>
      </c>
      <c r="B11" s="107">
        <f>SUMIF(Woody!$M$10:$M$150,"&gt;=0")</f>
        <v>224.5</v>
      </c>
      <c r="C11" s="107">
        <f>SUMIF(Forbs!$M$10:$M$151,"&gt;=0")</f>
        <v>58.5</v>
      </c>
      <c r="D11" s="107">
        <f>SUMIF(Grasses!$M$10:$M$150,"&gt;=0")</f>
        <v>3</v>
      </c>
      <c r="E11" s="107">
        <f>AVERAGE(B11:D11)</f>
        <v>95.333333333333329</v>
      </c>
      <c r="F11" s="107">
        <f>SUM(B11:D11)</f>
        <v>286</v>
      </c>
    </row>
    <row r="12" spans="1:6" ht="17.399999999999999" x14ac:dyDescent="0.3">
      <c r="A12" s="53" t="s">
        <v>5388</v>
      </c>
      <c r="B12" s="107">
        <f>SUMIF(Woody!$F$10:$F$150,"Introduced",Woody!$L$10:$L$150)</f>
        <v>6.5</v>
      </c>
      <c r="C12" s="107">
        <f>SUMIF(Forbs!$F$10:$F$151,"Introduced",Forbs!$L$10:$L$151)</f>
        <v>0.5</v>
      </c>
      <c r="D12" s="107">
        <f>SUMIF(Grasses!$F$10:$F$150,"Introduced",Grasses!$L$10:$L$150)</f>
        <v>0</v>
      </c>
      <c r="E12" s="107">
        <f>AVERAGE(B12:D12)</f>
        <v>2.3333333333333335</v>
      </c>
      <c r="F12" s="107">
        <f>SUM(B12:D12)</f>
        <v>7</v>
      </c>
    </row>
    <row r="13" spans="1:6" ht="18" thickBot="1" x14ac:dyDescent="0.35">
      <c r="A13" s="54" t="s">
        <v>4848</v>
      </c>
      <c r="B13" s="108">
        <f>B12/B11</f>
        <v>2.8953229398663696E-2</v>
      </c>
      <c r="C13" s="108">
        <f>C12/C11</f>
        <v>8.5470085470085479E-3</v>
      </c>
      <c r="D13" s="108">
        <f>D12/D11</f>
        <v>0</v>
      </c>
      <c r="E13" s="108">
        <f>E12/E11</f>
        <v>2.4475524475524479E-2</v>
      </c>
      <c r="F13" s="108">
        <f>F12/F11</f>
        <v>2.4475524475524476E-2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6">
        <f>SUMIF(Woody!$O$10:$O$150,"&gt;=0")</f>
        <v>3.8351893095768381</v>
      </c>
      <c r="C15" s="106">
        <f>SUMIF(Forbs!$O$10:$O$150,"&gt;=0")</f>
        <v>4.0598290598290596</v>
      </c>
      <c r="D15" s="106">
        <f>SUMIF(Grasses!$O$10:$O$150,"&gt;=0")</f>
        <v>3</v>
      </c>
      <c r="E15" s="106">
        <f>AVERAGE(B15:D15)</f>
        <v>3.6316727898019661</v>
      </c>
      <c r="F15" s="107">
        <f>SUM(B15:D15)</f>
        <v>10.895018369405898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2022-02-03T19:45:03Z</dcterms:modified>
</cp:coreProperties>
</file>