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27FF3166-2BDA-4392-BF67-C2225FD02C9A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7" i="10"/>
  <c r="C18" i="10"/>
  <c r="C19" i="10"/>
  <c r="F14" i="9"/>
  <c r="F15" i="9"/>
  <c r="F16" i="9"/>
  <c r="C13" i="9"/>
  <c r="C14" i="9"/>
  <c r="C15" i="9"/>
  <c r="C16" i="9"/>
  <c r="B12" i="9" l="1"/>
  <c r="C13" i="6" l="1"/>
  <c r="C14" i="6"/>
  <c r="C15" i="6"/>
  <c r="C16" i="6"/>
  <c r="C17" i="6"/>
  <c r="C18" i="6"/>
  <c r="C19" i="6"/>
  <c r="C20" i="6"/>
  <c r="C20" i="10"/>
  <c r="C22" i="10"/>
  <c r="C23" i="10"/>
  <c r="C24" i="10"/>
  <c r="C25" i="10"/>
  <c r="C26" i="10"/>
  <c r="C27" i="10"/>
  <c r="C28" i="10"/>
  <c r="C29" i="10"/>
  <c r="C30" i="10"/>
  <c r="C31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6" i="9"/>
  <c r="C17" i="9"/>
  <c r="C18" i="9"/>
  <c r="C19" i="9"/>
  <c r="C20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0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E20" i="9"/>
  <c r="F20" i="9"/>
  <c r="G20" i="9"/>
  <c r="H20" i="9"/>
  <c r="K20" i="9"/>
  <c r="L20" i="9" s="1"/>
  <c r="M20" i="9" s="1"/>
  <c r="B21" i="9"/>
  <c r="C21" i="9"/>
  <c r="D21" i="9" s="1"/>
  <c r="E21" i="9"/>
  <c r="F21" i="9"/>
  <c r="G21" i="9"/>
  <c r="H21" i="9"/>
  <c r="K21" i="9"/>
  <c r="L21" i="9" s="1"/>
  <c r="M21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9" i="9"/>
  <c r="L139" i="9" s="1"/>
  <c r="M139" i="9" s="1"/>
  <c r="H139" i="9"/>
  <c r="G139" i="9"/>
  <c r="F139" i="9"/>
  <c r="E139" i="9"/>
  <c r="C139" i="9"/>
  <c r="D139" i="9" s="1"/>
  <c r="B139" i="9"/>
  <c r="K138" i="9"/>
  <c r="L138" i="9" s="1"/>
  <c r="M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C137" i="9"/>
  <c r="D137" i="9" s="1"/>
  <c r="B137" i="9"/>
  <c r="K136" i="9"/>
  <c r="L136" i="9" s="1"/>
  <c r="M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D28" i="9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E26" i="9"/>
  <c r="D26" i="9"/>
  <c r="B26" i="9"/>
  <c r="K25" i="9"/>
  <c r="L25" i="9" s="1"/>
  <c r="M25" i="9" s="1"/>
  <c r="H25" i="9"/>
  <c r="G25" i="9"/>
  <c r="E25" i="9"/>
  <c r="D25" i="9"/>
  <c r="B25" i="9"/>
  <c r="K24" i="9"/>
  <c r="L24" i="9" s="1"/>
  <c r="M24" i="9" s="1"/>
  <c r="H24" i="9"/>
  <c r="G24" i="9"/>
  <c r="E24" i="9"/>
  <c r="D24" i="9"/>
  <c r="K23" i="9"/>
  <c r="L23" i="9" s="1"/>
  <c r="M23" i="9" s="1"/>
  <c r="H23" i="9"/>
  <c r="G23" i="9"/>
  <c r="E23" i="9"/>
  <c r="D23" i="9"/>
  <c r="K22" i="9"/>
  <c r="L22" i="9" s="1"/>
  <c r="M22" i="9" s="1"/>
  <c r="H22" i="9"/>
  <c r="G22" i="9"/>
  <c r="F22" i="9"/>
  <c r="E22" i="9"/>
  <c r="C22" i="9"/>
  <c r="D22" i="9" s="1"/>
  <c r="B22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40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1" i="9"/>
  <c r="O21" i="9" s="1"/>
  <c r="N13" i="9"/>
  <c r="O13" i="9" s="1"/>
  <c r="N19" i="9"/>
  <c r="O19" i="9" s="1"/>
  <c r="N15" i="9"/>
  <c r="O15" i="9" s="1"/>
  <c r="N20" i="9"/>
  <c r="O20" i="9" s="1"/>
  <c r="N14" i="9"/>
  <c r="O14" i="9" s="1"/>
  <c r="N17" i="9"/>
  <c r="O17" i="9" s="1"/>
  <c r="N12" i="9"/>
  <c r="O12" i="9" s="1"/>
  <c r="N18" i="9"/>
  <c r="O18" i="9" s="1"/>
  <c r="N16" i="9"/>
  <c r="O16" i="9" s="1"/>
  <c r="N55" i="9"/>
  <c r="O55" i="9" s="1"/>
  <c r="N132" i="9"/>
  <c r="O132" i="9" s="1"/>
  <c r="N109" i="9"/>
  <c r="O109" i="9" s="1"/>
  <c r="N137" i="9"/>
  <c r="O137" i="9" s="1"/>
  <c r="N98" i="9"/>
  <c r="O98" i="9" s="1"/>
  <c r="N44" i="9"/>
  <c r="O44" i="9" s="1"/>
  <c r="N121" i="9"/>
  <c r="O121" i="9" s="1"/>
  <c r="N133" i="9"/>
  <c r="O133" i="9" s="1"/>
  <c r="N91" i="9"/>
  <c r="O91" i="9" s="1"/>
  <c r="N135" i="9"/>
  <c r="O135" i="9" s="1"/>
  <c r="N94" i="9"/>
  <c r="O94" i="9" s="1"/>
  <c r="N117" i="9"/>
  <c r="O117" i="9" s="1"/>
  <c r="N22" i="9"/>
  <c r="O22" i="9" s="1"/>
  <c r="N64" i="9"/>
  <c r="O64" i="9" s="1"/>
  <c r="N56" i="9"/>
  <c r="O56" i="9" s="1"/>
  <c r="N113" i="9"/>
  <c r="O113" i="9" s="1"/>
  <c r="N68" i="9"/>
  <c r="O68" i="9" s="1"/>
  <c r="N71" i="9"/>
  <c r="O71" i="9" s="1"/>
  <c r="N105" i="9"/>
  <c r="O105" i="9" s="1"/>
  <c r="N138" i="9"/>
  <c r="O138" i="9" s="1"/>
  <c r="N110" i="9"/>
  <c r="O110" i="9" s="1"/>
  <c r="N80" i="9"/>
  <c r="O80" i="9" s="1"/>
  <c r="N125" i="9"/>
  <c r="O125" i="9" s="1"/>
  <c r="N60" i="9"/>
  <c r="O60" i="9" s="1"/>
  <c r="N51" i="9"/>
  <c r="O51" i="9" s="1"/>
  <c r="N96" i="9"/>
  <c r="O96" i="9" s="1"/>
  <c r="N129" i="9"/>
  <c r="O129" i="9" s="1"/>
  <c r="N54" i="9"/>
  <c r="O54" i="9" s="1"/>
  <c r="N46" i="9"/>
  <c r="O46" i="9" s="1"/>
  <c r="N139" i="9"/>
  <c r="O139" i="9" s="1"/>
  <c r="N87" i="9"/>
  <c r="O87" i="9" s="1"/>
  <c r="N23" i="9"/>
  <c r="O23" i="9" s="1"/>
  <c r="N100" i="9"/>
  <c r="O100" i="9" s="1"/>
  <c r="N112" i="9"/>
  <c r="O112" i="9" s="1"/>
  <c r="N36" i="9"/>
  <c r="O36" i="9" s="1"/>
  <c r="N70" i="9"/>
  <c r="O70" i="9" s="1"/>
  <c r="N40" i="9"/>
  <c r="O40" i="9" s="1"/>
  <c r="N83" i="9"/>
  <c r="O83" i="9" s="1"/>
  <c r="N84" i="9"/>
  <c r="O84" i="9" s="1"/>
  <c r="N32" i="9"/>
  <c r="O32" i="9" s="1"/>
  <c r="N102" i="9"/>
  <c r="O102" i="9" s="1"/>
  <c r="N31" i="9"/>
  <c r="O31" i="9" s="1"/>
  <c r="N122" i="9"/>
  <c r="O122" i="9" s="1"/>
  <c r="N76" i="9"/>
  <c r="O76" i="9" s="1"/>
  <c r="N88" i="9"/>
  <c r="O88" i="9" s="1"/>
  <c r="N59" i="9"/>
  <c r="O59" i="9" s="1"/>
  <c r="N50" i="9"/>
  <c r="O50" i="9" s="1"/>
  <c r="N118" i="9"/>
  <c r="O118" i="9" s="1"/>
  <c r="N24" i="9"/>
  <c r="O24" i="9" s="1"/>
  <c r="N66" i="9"/>
  <c r="O66" i="9" s="1"/>
  <c r="N78" i="9"/>
  <c r="O78" i="9" s="1"/>
  <c r="N101" i="9"/>
  <c r="O101" i="9" s="1"/>
  <c r="N124" i="9"/>
  <c r="O124" i="9" s="1"/>
  <c r="N48" i="9"/>
  <c r="O48" i="9" s="1"/>
  <c r="N39" i="9"/>
  <c r="O39" i="9" s="1"/>
  <c r="N136" i="9"/>
  <c r="O136" i="9" s="1"/>
  <c r="N62" i="9"/>
  <c r="O62" i="9" s="1"/>
  <c r="N63" i="9"/>
  <c r="O63" i="9" s="1"/>
  <c r="N35" i="9"/>
  <c r="O35" i="9" s="1"/>
  <c r="N108" i="9"/>
  <c r="O108" i="9" s="1"/>
  <c r="N26" i="9"/>
  <c r="O26" i="9" s="1"/>
  <c r="N79" i="9"/>
  <c r="O79" i="9" s="1"/>
  <c r="N28" i="9"/>
  <c r="O28" i="9" s="1"/>
  <c r="N128" i="9"/>
  <c r="O128" i="9" s="1"/>
  <c r="N86" i="9"/>
  <c r="O86" i="9" s="1"/>
  <c r="N34" i="9"/>
  <c r="O34" i="9" s="1"/>
  <c r="N47" i="9"/>
  <c r="O47" i="9" s="1"/>
  <c r="N130" i="9"/>
  <c r="O130" i="9" s="1"/>
  <c r="N104" i="9"/>
  <c r="O104" i="9" s="1"/>
  <c r="N120" i="9"/>
  <c r="O120" i="9" s="1"/>
  <c r="N67" i="9"/>
  <c r="O67" i="9" s="1"/>
  <c r="N90" i="9"/>
  <c r="O90" i="9" s="1"/>
  <c r="N38" i="9"/>
  <c r="O38" i="9" s="1"/>
  <c r="N92" i="9"/>
  <c r="O92" i="9" s="1"/>
  <c r="N126" i="9"/>
  <c r="O126" i="9" s="1"/>
  <c r="N30" i="9"/>
  <c r="O30" i="9" s="1"/>
  <c r="N52" i="9"/>
  <c r="O52" i="9" s="1"/>
  <c r="N97" i="9"/>
  <c r="O97" i="9" s="1"/>
  <c r="N116" i="9"/>
  <c r="O116" i="9" s="1"/>
  <c r="N72" i="9"/>
  <c r="O72" i="9" s="1"/>
  <c r="N42" i="9"/>
  <c r="O42" i="9" s="1"/>
  <c r="N43" i="9"/>
  <c r="O43" i="9" s="1"/>
  <c r="N58" i="9"/>
  <c r="O58" i="9" s="1"/>
  <c r="N134" i="9"/>
  <c r="O134" i="9" s="1"/>
  <c r="N27" i="9"/>
  <c r="O27" i="9" s="1"/>
  <c r="N114" i="9"/>
  <c r="O114" i="9" s="1"/>
  <c r="N82" i="9"/>
  <c r="O82" i="9" s="1"/>
  <c r="N106" i="9"/>
  <c r="O106" i="9" s="1"/>
  <c r="N74" i="9"/>
  <c r="O74" i="9" s="1"/>
  <c r="N75" i="9"/>
  <c r="O75" i="9" s="1"/>
  <c r="N131" i="9"/>
  <c r="O131" i="9" s="1"/>
  <c r="N127" i="9"/>
  <c r="O127" i="9" s="1"/>
  <c r="N123" i="9"/>
  <c r="O123" i="9" s="1"/>
  <c r="N119" i="9"/>
  <c r="O119" i="9" s="1"/>
  <c r="N115" i="9"/>
  <c r="O115" i="9" s="1"/>
  <c r="N111" i="9"/>
  <c r="O111" i="9" s="1"/>
  <c r="N107" i="9"/>
  <c r="O107" i="9" s="1"/>
  <c r="N103" i="9"/>
  <c r="O103" i="9" s="1"/>
  <c r="N99" i="9"/>
  <c r="O99" i="9" s="1"/>
  <c r="N95" i="9"/>
  <c r="O95" i="9" s="1"/>
  <c r="N93" i="9"/>
  <c r="O93" i="9" s="1"/>
  <c r="N89" i="9"/>
  <c r="O89" i="9" s="1"/>
  <c r="N85" i="9"/>
  <c r="O85" i="9" s="1"/>
  <c r="N81" i="9"/>
  <c r="O81" i="9" s="1"/>
  <c r="N77" i="9"/>
  <c r="O77" i="9" s="1"/>
  <c r="N73" i="9"/>
  <c r="O73" i="9" s="1"/>
  <c r="N69" i="9"/>
  <c r="O69" i="9" s="1"/>
  <c r="N65" i="9"/>
  <c r="O65" i="9" s="1"/>
  <c r="N61" i="9"/>
  <c r="O61" i="9" s="1"/>
  <c r="N57" i="9"/>
  <c r="O57" i="9" s="1"/>
  <c r="N53" i="9"/>
  <c r="O53" i="9" s="1"/>
  <c r="N49" i="9"/>
  <c r="O49" i="9" s="1"/>
  <c r="N45" i="9"/>
  <c r="O45" i="9" s="1"/>
  <c r="N41" i="9"/>
  <c r="O41" i="9" s="1"/>
  <c r="N37" i="9"/>
  <c r="O37" i="9" s="1"/>
  <c r="N33" i="9"/>
  <c r="O33" i="9" s="1"/>
  <c r="N29" i="9"/>
  <c r="O29" i="9" s="1"/>
  <c r="N25" i="9"/>
  <c r="O25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<sst xmlns="http://schemas.openxmlformats.org/spreadsheetml/2006/main" count="13133" uniqueCount="5446">
  <si>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</si>
  <si>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</si>
  <si>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</si>
  <si>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</si>
  <si>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</si>
  <si>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</si>
  <si>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</si>
  <si>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</si>
  <si>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</si>
  <si>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</si>
  <si>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</si>
  <si>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</si>
  <si>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</si>
  <si>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</si>
  <si>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</si>
  <si>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</si>
  <si>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</si>
  <si>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</si>
  <si>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</si>
  <si>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</si>
  <si>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</si>
  <si>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</si>
  <si>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</si>
  <si>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</si>
  <si>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</si>
  <si>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</si>
  <si>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</si>
  <si>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</si>
  <si>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</si>
  <si>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</si>
  <si>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</si>
  <si>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</si>
  <si>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</si>
  <si>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</si>
  <si>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</si>
  <si>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</si>
  <si>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</si>
  <si>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</si>
  <si>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</si>
  <si>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</si>
  <si>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</si>
  <si>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</si>
  <si>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</si>
  <si>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</si>
  <si>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</si>
  <si>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</si>
  <si>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</si>
  <si>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</si>
  <si>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</si>
  <si>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</si>
  <si>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</si>
  <si>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</si>
  <si>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</si>
  <si>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</si>
  <si>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</si>
  <si>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</si>
  <si>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</si>
  <si>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</si>
  <si>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</si>
  <si>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</si>
  <si>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</si>
  <si>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</si>
  <si>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</si>
  <si>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</si>
  <si>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</si>
  <si>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</si>
  <si>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</si>
  <si>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</si>
  <si>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</si>
  <si>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</si>
  <si>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</si>
  <si>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</si>
  <si>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</si>
  <si>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</si>
  <si>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</si>
  <si>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</si>
  <si>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</si>
  <si>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</si>
  <si>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</si>
  <si>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</si>
  <si>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</si>
  <si>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</si>
  <si>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</si>
  <si>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</si>
  <si>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</si>
  <si>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</si>
  <si>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</si>
  <si>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</si>
  <si>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</si>
  <si>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</si>
  <si>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</si>
  <si>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</si>
  <si>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</si>
  <si>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</si>
  <si>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</si>
  <si>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</si>
  <si>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</si>
  <si>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</si>
  <si>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</si>
  <si>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</si>
  <si>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</si>
  <si>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</si>
  <si>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</si>
  <si>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</si>
  <si>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</si>
  <si>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</si>
  <si>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</si>
  <si>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</si>
  <si>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</si>
  <si>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</si>
  <si>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</si>
  <si>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</si>
  <si>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</si>
  <si>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</si>
  <si>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</si>
  <si>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</si>
  <si>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</si>
  <si>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</si>
  <si>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</si>
  <si>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</si>
  <si>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</si>
  <si>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</si>
  <si>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</si>
  <si>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</si>
  <si>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</si>
  <si>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</si>
  <si>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</si>
  <si>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</si>
  <si>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</si>
  <si>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</si>
  <si>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</si>
  <si>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</si>
  <si>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</si>
  <si>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</si>
  <si>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</si>
  <si>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</si>
  <si>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</si>
  <si>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</si>
  <si>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</si>
  <si>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</si>
  <si>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</si>
  <si>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</si>
  <si>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</si>
  <si>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</si>
  <si>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</si>
  <si>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</si>
  <si>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</si>
  <si>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</si>
  <si>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</si>
  <si>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</si>
  <si>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</si>
  <si>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</si>
  <si>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</si>
  <si>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</si>
  <si>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</si>
  <si>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</si>
  <si>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</si>
  <si>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</si>
  <si>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</si>
  <si>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</si>
  <si>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</si>
  <si>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</si>
  <si>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</si>
  <si>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</si>
  <si>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</si>
  <si>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</si>
  <si>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</si>
  <si>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</si>
  <si>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</si>
  <si>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</si>
  <si>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</si>
  <si>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</si>
  <si>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</si>
  <si>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</si>
  <si>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</si>
  <si>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</si>
  <si>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</si>
  <si>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</si>
  <si>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</si>
  <si>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</si>
  <si>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</si>
  <si>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</si>
  <si>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</si>
  <si>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</si>
  <si>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</si>
  <si>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</si>
  <si>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</si>
  <si>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</si>
  <si>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</si>
  <si>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</si>
  <si>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</si>
  <si>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</si>
  <si>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</si>
  <si>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</si>
  <si>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</si>
  <si>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</si>
  <si>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</si>
  <si>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</si>
  <si>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</si>
  <si>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</si>
  <si>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</si>
  <si>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</si>
  <si>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</si>
  <si>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</si>
  <si>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</si>
  <si>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</si>
  <si>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</si>
  <si>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</si>
  <si>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</si>
  <si>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</si>
  <si>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</si>
  <si>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</si>
  <si>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</si>
  <si>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</si>
  <si>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</si>
  <si>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</si>
  <si>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</si>
  <si>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</si>
  <si>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</si>
  <si>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</si>
  <si>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</si>
  <si>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</si>
  <si>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</si>
  <si>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</si>
  <si>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</si>
  <si>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</si>
  <si>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</si>
  <si>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</si>
  <si>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</si>
  <si>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</si>
  <si>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</si>
  <si>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</si>
  <si>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</si>
  <si>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</si>
  <si>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</si>
  <si>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</si>
  <si>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</si>
  <si>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</si>
  <si>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</si>
  <si>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</si>
  <si>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</si>
  <si>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</si>
  <si>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</si>
  <si>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</si>
  <si>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</si>
  <si>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</si>
  <si>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</si>
  <si>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</si>
  <si>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</si>
  <si>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</si>
  <si>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</si>
  <si>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</si>
  <si>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</si>
  <si>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</si>
  <si>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</si>
  <si>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</si>
  <si>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</si>
  <si>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</si>
  <si>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</si>
  <si>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</si>
  <si>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</si>
  <si>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</si>
  <si>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</si>
  <si>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</si>
  <si>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</si>
  <si>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</si>
  <si>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</si>
  <si>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</si>
  <si>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</si>
  <si>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</si>
  <si>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</si>
  <si>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</si>
  <si>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</si>
  <si>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</si>
  <si>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</si>
  <si>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</si>
  <si>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</si>
  <si>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</si>
  <si>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</si>
  <si>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</si>
  <si>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</si>
  <si>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</si>
  <si>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</si>
  <si>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</si>
  <si>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</si>
  <si>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</si>
  <si>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</si>
  <si>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</si>
  <si>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</si>
  <si>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</si>
  <si>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</si>
  <si>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</si>
  <si>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</si>
  <si>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</si>
  <si>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</si>
  <si>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</si>
  <si>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</si>
  <si>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</si>
  <si>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</si>
  <si>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</si>
  <si>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</si>
  <si>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</si>
  <si>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</si>
  <si>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</si>
  <si>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</si>
  <si>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</si>
  <si>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</si>
  <si>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</si>
  <si>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</si>
  <si>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</si>
  <si>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</si>
  <si>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</si>
  <si>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</si>
  <si>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</si>
  <si>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</si>
  <si>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</si>
  <si>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</si>
  <si>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</si>
  <si>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</si>
  <si>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</si>
  <si>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</si>
  <si>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</si>
  <si>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</si>
  <si>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</si>
  <si>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</si>
  <si>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</si>
  <si>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</si>
  <si>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</si>
  <si>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</si>
  <si>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</si>
  <si>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</si>
  <si>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</si>
  <si>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</si>
  <si>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</si>
  <si>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</si>
  <si>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</si>
  <si>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</si>
  <si>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</si>
  <si>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</si>
  <si>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</si>
  <si>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</si>
  <si>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</si>
  <si>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</si>
  <si>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</si>
  <si>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</si>
  <si>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</si>
  <si>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</si>
  <si>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</si>
  <si>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</si>
  <si>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</si>
  <si>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</si>
  <si>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</si>
  <si>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</si>
  <si>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</si>
  <si>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</si>
  <si>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</si>
  <si>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</si>
  <si>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</si>
  <si>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</si>
  <si>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</si>
  <si>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</si>
  <si>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</si>
  <si>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</si>
  <si>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</si>
  <si>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</si>
  <si>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</si>
  <si>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</si>
  <si>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</si>
  <si>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</si>
  <si>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</si>
  <si>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</si>
  <si>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</si>
  <si>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</si>
  <si>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</si>
  <si>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</si>
  <si>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</si>
  <si>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</si>
  <si>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</si>
  <si>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</si>
  <si>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</si>
  <si>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</si>
  <si>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</si>
  <si>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</si>
  <si>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</si>
  <si>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</si>
  <si>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</si>
  <si>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</si>
  <si>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</si>
  <si>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</si>
  <si>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</si>
  <si>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</si>
  <si>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</si>
  <si>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</si>
  <si>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</si>
  <si>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</si>
  <si>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</si>
  <si>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</si>
  <si>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</si>
  <si>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</si>
  <si>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</si>
  <si>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</si>
  <si>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</si>
  <si>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</si>
  <si>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</si>
  <si>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</si>
  <si>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</si>
  <si>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</si>
  <si>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</si>
  <si>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</si>
  <si>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</si>
  <si>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</si>
  <si>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</si>
  <si>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</si>
  <si>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</si>
  <si>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</si>
  <si>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</si>
  <si>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</si>
  <si>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</si>
  <si>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</si>
  <si>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</si>
  <si>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</si>
  <si>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</si>
  <si>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</si>
  <si>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</si>
  <si>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</si>
  <si>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</si>
  <si>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</si>
  <si>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</si>
  <si>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</si>
  <si>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</si>
  <si>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</si>
  <si>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</si>
  <si>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</si>
  <si>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</si>
  <si>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</si>
  <si>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</si>
  <si>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</si>
  <si>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</si>
  <si>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</si>
  <si>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</si>
  <si>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</si>
  <si>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</si>
  <si>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</si>
  <si>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</si>
  <si>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</si>
  <si>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</si>
  <si>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</si>
  <si>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</si>
  <si>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</si>
  <si>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</si>
  <si>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</si>
  <si>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</si>
  <si>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</si>
  <si>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</si>
  <si>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</si>
  <si>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</si>
  <si>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</si>
  <si>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</si>
  <si>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</si>
  <si>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</si>
  <si>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</si>
  <si>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</si>
  <si>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</si>
  <si>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</si>
  <si>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</si>
  <si>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</si>
  <si>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</si>
  <si>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</si>
  <si>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</si>
  <si>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</si>
  <si>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</si>
  <si>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</si>
  <si>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</si>
  <si>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</si>
  <si>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</si>
  <si>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</si>
  <si>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</si>
  <si>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</si>
  <si>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</si>
  <si>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</si>
  <si>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</si>
  <si>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</si>
  <si>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</si>
  <si>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</si>
  <si>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</si>
  <si>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</si>
  <si>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</si>
  <si>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</si>
  <si>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</si>
  <si>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</si>
  <si>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</si>
  <si>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</si>
  <si>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</si>
  <si>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</si>
  <si>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</si>
  <si>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</si>
  <si>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</si>
  <si>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</si>
  <si>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</si>
  <si>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</si>
  <si>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</si>
  <si>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</si>
  <si>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</si>
  <si>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</si>
  <si>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</si>
  <si>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</si>
  <si>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</si>
  <si>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</si>
  <si>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</si>
  <si>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</si>
  <si>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</si>
  <si>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</si>
  <si>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</si>
  <si>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</si>
  <si>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</si>
  <si>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</si>
  <si>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</si>
  <si>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</si>
  <si>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</si>
  <si>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</si>
  <si>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</si>
  <si>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</si>
  <si>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</si>
  <si>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</si>
  <si>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</si>
  <si>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</si>
  <si>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</si>
  <si>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</si>
  <si>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</si>
  <si>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</si>
  <si>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</si>
  <si>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</si>
  <si>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</si>
  <si>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</si>
  <si>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</si>
  <si>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</si>
  <si>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</si>
  <si>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</si>
  <si>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</si>
  <si>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</si>
  <si>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</si>
  <si>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</si>
  <si>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</si>
  <si>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</si>
  <si>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</si>
  <si>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</si>
  <si>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</si>
  <si>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</si>
  <si>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</si>
  <si>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</si>
  <si>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</si>
  <si>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</si>
  <si>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</si>
  <si>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</si>
  <si>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</si>
  <si>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</si>
  <si>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</si>
  <si>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</si>
  <si>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</si>
  <si>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</si>
  <si>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</si>
  <si>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</si>
  <si>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</si>
  <si>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</si>
  <si>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</si>
  <si>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</si>
  <si>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</si>
  <si>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</si>
  <si>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</si>
  <si>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</si>
  <si>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</si>
  <si>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</si>
  <si>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</si>
  <si>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</si>
  <si>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</si>
  <si>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</si>
  <si>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</si>
  <si>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</si>
  <si>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</si>
  <si>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</si>
  <si>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</si>
  <si>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</si>
  <si>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</si>
  <si>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</si>
  <si>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</si>
  <si>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</si>
  <si>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</si>
  <si>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</si>
  <si>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</si>
  <si>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</si>
  <si>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</si>
  <si>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</si>
  <si>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</si>
  <si>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</si>
  <si>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</si>
  <si>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</si>
  <si>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</si>
  <si>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</si>
  <si>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</si>
  <si>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</si>
  <si>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</si>
  <si>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</si>
  <si>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</si>
  <si>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</si>
  <si>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</si>
  <si>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</si>
  <si>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</si>
  <si>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</si>
  <si>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</si>
  <si>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</si>
  <si>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</si>
  <si>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</si>
  <si>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</si>
  <si>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</si>
  <si>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</si>
  <si>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</si>
  <si>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</si>
  <si>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</si>
  <si>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</si>
  <si>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</si>
  <si>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</si>
  <si>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</si>
  <si>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</si>
  <si>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</si>
  <si>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</si>
  <si>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</si>
  <si>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</si>
  <si>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</si>
  <si>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</si>
  <si>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</si>
  <si>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</si>
  <si>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</si>
  <si>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</si>
  <si>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</si>
  <si>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</si>
  <si>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</si>
  <si>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</si>
  <si>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</si>
  <si>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</si>
  <si>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</si>
  <si>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</si>
  <si>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</si>
  <si>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</si>
  <si>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</si>
  <si>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</si>
  <si>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</si>
  <si>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</si>
  <si>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</si>
  <si>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</si>
  <si>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</si>
  <si>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</si>
  <si>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</si>
  <si>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</si>
  <si>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</si>
  <si>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</si>
  <si>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</si>
  <si>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</si>
  <si>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</si>
  <si>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</si>
  <si>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</si>
  <si>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</si>
  <si>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</si>
  <si>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</si>
  <si>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</si>
  <si>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</si>
  <si>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</si>
  <si>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</si>
  <si>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</si>
  <si>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</si>
  <si>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</si>
  <si>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</si>
  <si>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</si>
  <si>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</si>
  <si>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</si>
  <si>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</si>
  <si>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</si>
  <si>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</si>
  <si>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</si>
  <si>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</si>
  <si>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</si>
  <si>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</si>
  <si>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</si>
  <si>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</si>
  <si>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</si>
  <si>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</si>
  <si>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</si>
  <si>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</si>
  <si>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</si>
  <si>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</si>
  <si>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</si>
  <si>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</si>
  <si>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</si>
  <si>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</si>
  <si>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</si>
  <si>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</si>
  <si>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</si>
  <si>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</si>
  <si>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</si>
  <si>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</si>
  <si>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</si>
  <si>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</si>
  <si>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</si>
  <si>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</si>
  <si>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</si>
  <si>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</si>
  <si>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</si>
  <si>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</si>
  <si>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</si>
  <si>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</si>
  <si>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</si>
  <si>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</si>
  <si>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</si>
  <si>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</si>
  <si>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</si>
  <si>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</si>
  <si>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</si>
  <si>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</si>
  <si>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</si>
  <si>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</si>
  <si>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</si>
  <si>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</si>
  <si>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</si>
  <si>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</si>
  <si>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</si>
  <si>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</si>
  <si>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</si>
  <si>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</si>
  <si>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</si>
  <si>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</si>
  <si>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</si>
  <si>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</si>
  <si>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</si>
  <si>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</si>
  <si>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</si>
  <si>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</si>
  <si>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</si>
  <si>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</si>
  <si>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</si>
  <si>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</si>
  <si>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</si>
  <si>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</si>
  <si>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</si>
  <si>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</si>
  <si>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</si>
  <si>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</si>
  <si>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</si>
  <si>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</si>
  <si>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</si>
  <si>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</si>
  <si>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</si>
  <si>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</si>
  <si>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</si>
  <si>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</si>
  <si>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</si>
  <si>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</si>
  <si>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</si>
  <si>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</si>
  <si>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</si>
  <si>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</si>
  <si>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</si>
  <si>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</si>
  <si>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</si>
  <si>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</si>
  <si>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</si>
  <si>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</si>
  <si>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</si>
  <si>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</si>
  <si>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</si>
  <si>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</si>
  <si>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</si>
  <si>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</si>
  <si>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</si>
  <si>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</si>
  <si>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</si>
  <si>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</si>
  <si>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</si>
  <si>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</si>
  <si>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</si>
  <si>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</si>
  <si>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</si>
  <si>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</si>
  <si>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</si>
  <si>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</si>
  <si>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</si>
  <si>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</si>
  <si>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</si>
  <si>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</si>
  <si>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</si>
  <si>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</si>
  <si>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</si>
  <si>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</si>
  <si>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</si>
  <si>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</si>
  <si>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</si>
  <si>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</si>
  <si>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</si>
  <si>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</si>
  <si>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</si>
  <si>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</si>
  <si>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</si>
  <si>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</si>
  <si>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</si>
  <si>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</si>
  <si>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</si>
  <si>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</si>
  <si>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</si>
  <si>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</si>
  <si>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</si>
  <si>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</si>
  <si>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</si>
  <si>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</si>
  <si>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</si>
  <si>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</si>
  <si>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</si>
  <si>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</si>
  <si>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</si>
  <si>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</si>
  <si>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</si>
  <si>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</si>
  <si>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</si>
  <si>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</si>
  <si>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</si>
  <si>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</si>
  <si>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</si>
  <si>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</si>
  <si>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</si>
  <si>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</si>
  <si>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</si>
  <si>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</si>
  <si>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</si>
  <si>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</si>
  <si>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</si>
  <si>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</si>
  <si>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</si>
  <si>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</si>
  <si>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</si>
  <si>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</si>
  <si>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</si>
  <si>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</si>
  <si>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</si>
  <si>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</si>
  <si>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</si>
  <si>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</si>
  <si>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</si>
  <si>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</si>
  <si>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</si>
  <si>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</si>
  <si>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</si>
  <si>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</si>
  <si>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</si>
  <si>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</si>
  <si>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</si>
  <si>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</si>
  <si>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</si>
  <si>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</si>
  <si>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</si>
  <si>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</si>
  <si>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</si>
  <si>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</si>
  <si>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</si>
  <si>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</si>
  <si>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</si>
  <si>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</si>
  <si>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</si>
  <si>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</si>
  <si>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</si>
  <si>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</si>
  <si>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</si>
  <si>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</si>
  <si>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</si>
  <si>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</si>
  <si>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</si>
  <si>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</si>
  <si>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</si>
  <si>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</si>
  <si>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</si>
  <si>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</si>
  <si>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</si>
  <si>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</si>
  <si>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</si>
  <si>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</si>
  <si>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</si>
  <si>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</si>
  <si>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</si>
  <si>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</si>
  <si>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</si>
  <si>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</si>
  <si>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</si>
  <si>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</si>
  <si>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</si>
  <si>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</si>
  <si>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</si>
  <si>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</si>
  <si>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</si>
  <si>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</si>
  <si>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</si>
  <si>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</si>
  <si>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</si>
  <si>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</si>
  <si>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</si>
  <si>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</si>
  <si>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</si>
  <si>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</si>
  <si>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</si>
  <si>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</si>
  <si>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</si>
  <si>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</si>
  <si>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</si>
  <si>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</si>
  <si>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</si>
  <si>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</si>
  <si>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</si>
  <si>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</si>
  <si>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</si>
  <si>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</si>
  <si>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</si>
  <si>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</si>
  <si>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</si>
  <si>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</si>
  <si>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</si>
  <si>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</si>
  <si>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</si>
  <si>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</si>
  <si>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</si>
  <si>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</si>
  <si>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</si>
  <si>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</si>
  <si>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</si>
  <si>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</si>
  <si>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</si>
  <si>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</si>
  <si>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</si>
  <si>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</si>
  <si>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</si>
  <si>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</si>
  <si>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</si>
  <si>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</si>
  <si>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</si>
  <si>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</si>
  <si>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</si>
  <si>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</si>
  <si>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</si>
  <si>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</si>
  <si>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</si>
  <si>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</si>
  <si>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</si>
  <si>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</si>
  <si>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</si>
  <si>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</si>
  <si>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</si>
  <si>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</si>
  <si>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</si>
  <si>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</si>
  <si>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</si>
  <si>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</si>
  <si>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</si>
  <si>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</si>
  <si>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</si>
  <si>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</si>
  <si>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</si>
  <si>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</si>
  <si>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</si>
  <si>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</si>
  <si>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</si>
  <si>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</si>
  <si>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</si>
  <si>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</si>
  <si>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</si>
  <si>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</si>
  <si>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</si>
  <si>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</si>
  <si>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</si>
  <si>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</si>
  <si>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</si>
  <si>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</si>
  <si>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</si>
  <si>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</si>
  <si>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</si>
  <si>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</si>
  <si>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</si>
  <si>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</si>
  <si>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</si>
  <si>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</si>
  <si>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</si>
  <si>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</si>
  <si>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</si>
  <si>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</si>
  <si>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</si>
  <si>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</si>
  <si>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</si>
  <si>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</si>
  <si>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</si>
  <si>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</si>
  <si>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</si>
  <si>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</si>
  <si>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</si>
  <si>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</si>
  <si>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</si>
  <si>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</si>
  <si>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</si>
  <si>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</si>
  <si>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</si>
  <si>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</si>
  <si>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</si>
  <si>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</si>
  <si>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</si>
  <si>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</si>
  <si>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</si>
  <si>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</si>
  <si>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</si>
  <si>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</si>
  <si>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</si>
  <si>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</si>
  <si>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</si>
  <si>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</si>
  <si>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</si>
  <si>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</si>
  <si>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</si>
  <si>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</si>
  <si>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</si>
  <si>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</si>
  <si>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</si>
  <si>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</si>
  <si>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</si>
  <si>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</si>
  <si>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</si>
  <si>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</si>
  <si>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</si>
  <si>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</si>
  <si>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</si>
  <si>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</si>
  <si>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</si>
  <si>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</si>
  <si>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</si>
  <si>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</si>
  <si>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</si>
  <si>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</si>
  <si>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</si>
  <si>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</si>
  <si>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</si>
  <si>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</si>
  <si>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</si>
  <si>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</si>
  <si>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</si>
  <si>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</si>
  <si>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</si>
  <si>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</si>
  <si>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</si>
  <si>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</si>
  <si>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</si>
  <si>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</si>
  <si>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</si>
  <si>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</si>
  <si>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</si>
  <si>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</si>
  <si>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</si>
  <si>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</si>
  <si>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</si>
  <si>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</si>
  <si>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</si>
  <si>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</si>
  <si>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</si>
  <si>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</si>
  <si>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</si>
  <si>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</si>
  <si>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</si>
  <si>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</si>
  <si>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</si>
  <si>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</si>
  <si>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</si>
  <si>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</si>
  <si>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</si>
  <si>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</si>
  <si>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</si>
  <si>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</si>
  <si>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</si>
  <si>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</si>
  <si>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</si>
  <si>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</si>
  <si>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</si>
  <si>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</si>
  <si>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</si>
  <si>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</si>
  <si>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</si>
  <si>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</si>
  <si>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</si>
  <si>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</si>
  <si>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</si>
  <si>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</si>
  <si>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</si>
  <si>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</si>
  <si>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</si>
  <si>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</si>
  <si>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</si>
  <si>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</si>
  <si>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</si>
  <si>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</si>
  <si>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</si>
  <si>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</si>
  <si>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</si>
  <si>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</si>
  <si>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</si>
  <si>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</si>
  <si>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</si>
  <si>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</si>
  <si>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</si>
  <si>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</si>
  <si>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</si>
  <si>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</si>
  <si>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</si>
  <si>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</si>
  <si>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</si>
  <si>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</si>
  <si>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</si>
  <si>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</si>
  <si>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</si>
  <si>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</si>
  <si>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</si>
  <si>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</si>
  <si>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</si>
  <si>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</si>
  <si>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</si>
  <si>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</si>
  <si>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</si>
  <si>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</si>
  <si>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</si>
  <si>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</si>
  <si>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</si>
  <si>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</si>
  <si>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</si>
  <si>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</si>
  <si>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</si>
  <si>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</si>
  <si>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</si>
  <si>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</si>
  <si>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</si>
  <si>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</si>
  <si>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</si>
  <si>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</si>
  <si>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</si>
  <si>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</si>
  <si>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</si>
  <si>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</si>
  <si>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</si>
  <si>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</si>
  <si>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</si>
  <si>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</si>
  <si>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</si>
  <si>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</si>
  <si>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</si>
  <si>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</si>
  <si>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</si>
  <si>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</si>
  <si>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</si>
  <si>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</si>
  <si>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</si>
  <si>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</si>
  <si>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</si>
  <si>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</si>
  <si>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</si>
  <si>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</si>
  <si>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</si>
  <si>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</si>
  <si>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</si>
  <si>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</si>
  <si>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</si>
  <si>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</si>
  <si>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</si>
  <si>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</si>
  <si>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</si>
  <si>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</si>
  <si>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</si>
  <si>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</si>
  <si>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</si>
  <si>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</si>
  <si>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</si>
  <si>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</si>
  <si>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</si>
  <si>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</si>
  <si>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</si>
  <si>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</si>
  <si>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</si>
  <si>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</si>
  <si>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</si>
  <si>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</si>
  <si>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</si>
  <si>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</si>
  <si>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</si>
  <si>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</si>
  <si>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</si>
  <si>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</si>
  <si>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</si>
  <si>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</si>
  <si>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</si>
  <si>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</si>
  <si>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</si>
  <si>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</si>
  <si>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</si>
  <si>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</si>
  <si>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</si>
  <si>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</si>
  <si>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</si>
  <si>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</si>
  <si>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</si>
  <si>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</si>
  <si>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</si>
  <si>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</si>
  <si>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</si>
  <si>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</si>
  <si>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</si>
  <si>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</si>
  <si>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</si>
  <si>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</si>
  <si>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</si>
  <si>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</si>
  <si>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</si>
  <si>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</si>
  <si>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</si>
  <si>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</si>
  <si>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</si>
  <si>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</si>
  <si>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</si>
  <si>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</si>
  <si>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</si>
  <si>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</si>
  <si>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</si>
  <si>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</si>
  <si>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</si>
  <si>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</si>
  <si>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</si>
  <si>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</si>
  <si>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</si>
  <si>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</si>
  <si>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</si>
  <si>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</si>
  <si>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</si>
  <si>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</si>
  <si>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</si>
  <si>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</si>
  <si>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</si>
  <si>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</si>
  <si>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</si>
  <si>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</si>
  <si>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</si>
  <si>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</si>
  <si>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</si>
  <si>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</si>
  <si>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</si>
  <si>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</si>
  <si>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</si>
  <si>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</si>
  <si>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</si>
  <si>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</si>
  <si>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</si>
  <si>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</si>
  <si>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</si>
  <si>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</si>
  <si>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</si>
  <si>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</si>
  <si>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</si>
  <si>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</si>
  <si>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</si>
  <si>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</si>
  <si>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</si>
  <si>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</si>
  <si>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</si>
  <si>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</si>
  <si>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</si>
  <si>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</si>
  <si>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</si>
  <si>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</si>
  <si>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</si>
  <si>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</si>
  <si>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</si>
  <si>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</si>
  <si>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</si>
  <si>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</si>
  <si>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</si>
  <si>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</si>
  <si>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</si>
  <si>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</si>
  <si>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</si>
  <si>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</si>
  <si>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</si>
  <si>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</si>
  <si>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</si>
  <si>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</si>
  <si>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</si>
  <si>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</si>
  <si>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</si>
  <si>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</si>
  <si>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</si>
  <si>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</si>
  <si>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</si>
  <si>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</si>
  <si>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</si>
  <si>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</si>
  <si>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</si>
  <si>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</si>
  <si>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</si>
  <si>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</si>
  <si>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</si>
  <si>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</si>
  <si>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</si>
  <si>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</si>
  <si>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</si>
  <si>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</si>
  <si>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</si>
  <si>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</si>
  <si>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</si>
  <si>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</si>
  <si>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</si>
  <si>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</si>
  <si>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</si>
  <si>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</si>
  <si>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</si>
  <si>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</si>
  <si>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</si>
  <si>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</si>
  <si>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</si>
  <si>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</si>
  <si>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</si>
  <si>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</si>
  <si>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</si>
  <si>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</si>
  <si>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</si>
  <si>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</si>
  <si>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</si>
  <si>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</si>
  <si>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</si>
  <si>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</si>
  <si>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</si>
  <si>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</si>
  <si>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</si>
  <si>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</si>
  <si>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</si>
  <si>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</si>
  <si>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</si>
  <si>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</si>
  <si>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</si>
  <si>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</si>
  <si>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</si>
  <si>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</si>
  <si>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</si>
  <si>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</si>
  <si>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</si>
  <si>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</si>
  <si>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</si>
  <si>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</si>
  <si>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</si>
  <si>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</si>
  <si>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</si>
  <si>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</si>
  <si>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</si>
  <si>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</si>
  <si>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</si>
  <si>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</si>
  <si>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</si>
  <si>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</si>
  <si>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</si>
  <si>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</si>
  <si>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</si>
  <si>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</si>
  <si>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</si>
  <si>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</si>
  <si>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</si>
  <si>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</si>
  <si>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</si>
  <si>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</si>
  <si>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</si>
  <si>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</si>
  <si>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</si>
  <si>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</si>
  <si>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</si>
  <si>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</si>
  <si>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</si>
  <si>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</si>
  <si>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</si>
  <si>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</si>
  <si>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</si>
  <si>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</si>
  <si>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</si>
  <si>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</si>
  <si>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</si>
  <si>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</si>
  <si>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</si>
  <si>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</si>
  <si>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</si>
  <si>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</si>
  <si>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</si>
  <si>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</si>
  <si>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</si>
  <si>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</si>
  <si>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</si>
  <si>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</si>
  <si>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</si>
  <si>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</si>
  <si>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</si>
  <si>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</si>
  <si>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</si>
  <si>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</si>
  <si>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</si>
  <si>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</si>
  <si>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</si>
  <si>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</si>
  <si>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</si>
  <si>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</si>
  <si>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</si>
  <si>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</si>
  <si>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</si>
  <si>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</si>
  <si>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</si>
  <si>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</si>
  <si>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</si>
  <si>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</si>
  <si>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</si>
  <si>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</si>
  <si>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</si>
  <si>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</si>
  <si>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</si>
  <si>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</si>
  <si>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</si>
  <si>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</si>
  <si>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</si>
  <si>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</si>
  <si>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</si>
  <si>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</si>
  <si>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</si>
  <si>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</si>
  <si>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</si>
  <si>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</si>
  <si>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</si>
  <si>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</si>
  <si>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</si>
  <si>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</si>
  <si>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</si>
  <si>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</si>
  <si>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</si>
  <si>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</si>
  <si>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</si>
  <si>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</si>
  <si>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</si>
  <si>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</si>
  <si>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</si>
  <si>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</si>
  <si>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</si>
  <si>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</si>
  <si>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</si>
  <si>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</si>
  <si>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</si>
  <si>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</si>
  <si>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</si>
  <si>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</si>
  <si>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</si>
  <si>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</si>
  <si>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</si>
  <si>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</si>
  <si>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</si>
  <si>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</si>
  <si>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</si>
  <si>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</si>
  <si>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</si>
  <si>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</si>
  <si>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</si>
  <si>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</si>
  <si>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</si>
  <si>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</si>
  <si>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</si>
  <si>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</si>
  <si>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</si>
  <si>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</si>
  <si>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</si>
  <si>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</si>
  <si>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</si>
  <si>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</si>
  <si>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</si>
  <si>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</si>
  <si>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</si>
  <si>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</si>
  <si>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</si>
  <si>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</si>
  <si>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</si>
  <si>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</si>
  <si>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</si>
  <si>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</si>
  <si>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</si>
  <si>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</si>
  <si>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</si>
  <si>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</si>
  <si>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</si>
  <si>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</si>
  <si>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</si>
  <si>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</si>
  <si>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</si>
  <si>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</si>
  <si>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</si>
  <si>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</si>
  <si>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</si>
  <si>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</si>
  <si>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</si>
  <si>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</si>
  <si>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</si>
  <si>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</si>
  <si>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</si>
  <si>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</si>
  <si>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</si>
  <si>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</si>
  <si>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</si>
  <si>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</si>
  <si>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</si>
  <si>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</si>
  <si>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</si>
  <si>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</si>
  <si>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</si>
  <si>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</si>
  <si>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</si>
  <si>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</si>
  <si>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</si>
  <si>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</si>
  <si>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</si>
  <si>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</si>
  <si>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</si>
  <si>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</si>
  <si>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</si>
  <si>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</si>
  <si>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</si>
  <si>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</si>
  <si>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</si>
  <si>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</si>
  <si>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</si>
  <si>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</si>
  <si>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</si>
  <si>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</si>
  <si>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</si>
  <si>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</si>
  <si>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</si>
  <si>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</si>
  <si>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</si>
  <si>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</si>
  <si>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</si>
  <si>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</si>
  <si>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</si>
  <si>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</si>
  <si>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</si>
  <si>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</si>
  <si>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</si>
  <si>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</si>
  <si>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</si>
  <si>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</si>
  <si>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</si>
  <si>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</si>
  <si>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</si>
  <si>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</si>
  <si>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</si>
  <si>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</si>
  <si>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</si>
  <si>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</si>
  <si>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</si>
  <si>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</si>
  <si>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</si>
  <si>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</si>
  <si>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</si>
  <si>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</si>
  <si>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</si>
  <si>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</si>
  <si>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</si>
  <si>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</si>
  <si>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</si>
  <si>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</si>
  <si>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</si>
  <si>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</si>
  <si>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</si>
  <si>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</si>
  <si>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</si>
  <si>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</si>
  <si>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</si>
  <si>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</si>
  <si>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</si>
  <si>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</si>
  <si>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</si>
  <si>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</si>
  <si>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</si>
  <si>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</si>
  <si>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</si>
  <si>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</si>
  <si>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</si>
  <si>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</si>
  <si>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</si>
  <si>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</si>
  <si>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</si>
  <si>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</si>
  <si>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</si>
  <si>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</si>
  <si>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</si>
  <si>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</si>
  <si>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</si>
  <si>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</si>
  <si>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</si>
  <si>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</si>
  <si>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</si>
  <si>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</si>
  <si>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</si>
  <si>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</si>
  <si>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</si>
  <si>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</si>
  <si>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</si>
  <si>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</si>
  <si>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</si>
  <si>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</si>
  <si>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</si>
  <si>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</si>
  <si>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</si>
  <si>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</si>
  <si>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</si>
  <si>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</si>
  <si>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</si>
  <si>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</si>
  <si>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</si>
  <si>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</si>
  <si>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</si>
  <si>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</si>
  <si>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</si>
  <si>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</si>
  <si>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</si>
  <si>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</si>
  <si>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</si>
  <si>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</si>
  <si>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</si>
  <si>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</si>
  <si>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</si>
  <si>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</si>
  <si>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</si>
  <si>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</si>
  <si>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</si>
  <si>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</si>
  <si>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</si>
  <si>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</si>
  <si>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</si>
  <si>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</si>
  <si>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</si>
  <si>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</si>
  <si>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</si>
  <si>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</si>
  <si>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</si>
  <si>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</si>
  <si>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</si>
  <si>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</si>
  <si>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</si>
  <si>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</si>
  <si>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</si>
  <si>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</si>
  <si>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</si>
  <si>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</si>
  <si>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</si>
  <si>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</si>
  <si>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</si>
  <si>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</si>
  <si>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</si>
  <si>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</si>
  <si>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</si>
  <si>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</si>
  <si>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</si>
  <si>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</si>
  <si>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</si>
  <si>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</si>
  <si>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</si>
  <si>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</si>
  <si>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</si>
  <si>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</si>
  <si>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</si>
  <si>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</si>
  <si>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</si>
  <si>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</si>
  <si>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</si>
  <si>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</si>
  <si>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</si>
  <si>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</si>
  <si>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</si>
  <si>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</si>
  <si>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</si>
  <si>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</si>
  <si>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</si>
  <si>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</si>
  <si>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</si>
  <si>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</si>
  <si>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</si>
  <si>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</si>
  <si>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</si>
  <si>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</si>
  <si>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</si>
  <si>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</si>
  <si>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</si>
  <si>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</si>
  <si>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</si>
  <si>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</si>
  <si>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</si>
  <si>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</si>
  <si>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</si>
  <si>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</si>
  <si>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</si>
  <si>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</si>
  <si>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</si>
  <si>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</si>
  <si>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</si>
  <si>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</si>
  <si>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</si>
  <si>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</si>
  <si>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</si>
  <si>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</si>
  <si>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</si>
  <si>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</si>
  <si>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</si>
  <si>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</si>
  <si>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</si>
  <si>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</si>
  <si>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</si>
  <si>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</si>
  <si>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</si>
  <si>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</si>
  <si>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</si>
  <si>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</si>
  <si>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</si>
  <si>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</si>
  <si>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</si>
  <si>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</si>
  <si>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</si>
  <si>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</si>
  <si>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</si>
  <si>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</si>
  <si>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</si>
  <si>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</si>
  <si>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</si>
  <si>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</si>
  <si>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</si>
  <si>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</si>
  <si>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</si>
  <si>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</si>
  <si>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</si>
  <si>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</si>
  <si>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</si>
  <si>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</si>
  <si>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</si>
  <si>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</si>
  <si>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</si>
  <si>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</si>
  <si>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</si>
  <si>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</si>
  <si>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</si>
  <si>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</si>
  <si>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</si>
  <si>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</si>
  <si>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</si>
  <si>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</si>
  <si>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</si>
  <si>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</si>
  <si>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</si>
  <si>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</si>
  <si>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</si>
  <si>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</si>
  <si>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</si>
  <si>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</si>
  <si>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</si>
  <si>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</si>
  <si>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</si>
  <si>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</si>
  <si>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</si>
  <si>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</si>
  <si>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</si>
  <si>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</si>
  <si>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</si>
  <si>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</si>
  <si>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</si>
  <si>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</si>
  <si>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</si>
  <si>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</si>
  <si>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</si>
  <si>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</si>
  <si>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</si>
  <si>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</si>
  <si>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</si>
  <si>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</si>
  <si>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</si>
  <si>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</si>
  <si>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</si>
  <si>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</si>
  <si>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</si>
  <si>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</si>
  <si>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</si>
  <si>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</si>
  <si>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</si>
  <si>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</si>
  <si>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</si>
  <si>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</si>
  <si>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</si>
  <si>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</si>
  <si>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</si>
  <si>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</si>
  <si>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</si>
  <si>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</si>
  <si>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</si>
  <si>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</si>
  <si>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</si>
  <si>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</si>
  <si>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</si>
  <si>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</si>
  <si>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</si>
  <si>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</si>
  <si>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</si>
  <si>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</si>
  <si>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</si>
  <si>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</si>
  <si>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</si>
  <si>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</si>
  <si>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</si>
  <si>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</si>
  <si>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</si>
  <si>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</si>
  <si>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</si>
  <si>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</si>
  <si>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</si>
  <si>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</si>
  <si>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</si>
  <si>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</si>
  <si>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</si>
  <si>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</si>
  <si>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</si>
  <si>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</si>
  <si>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</si>
  <si>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</si>
  <si>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</si>
  <si>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</si>
  <si>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</si>
  <si>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</si>
  <si>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</si>
  <si>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</si>
  <si>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</si>
  <si>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</si>
  <si>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</si>
  <si>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</si>
  <si>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</si>
  <si>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</si>
  <si>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</si>
  <si>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</si>
  <si>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</si>
  <si>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</si>
  <si>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</si>
  <si>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</si>
  <si>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</si>
  <si>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</si>
  <si>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</si>
  <si>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</si>
  <si>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</si>
  <si>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</si>
  <si>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</si>
  <si>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</si>
  <si>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</si>
  <si>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</si>
  <si>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</si>
  <si>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</si>
  <si>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</si>
  <si>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</si>
  <si>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</si>
  <si>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</si>
  <si>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</si>
  <si>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</si>
  <si>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</si>
  <si>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</si>
  <si>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</si>
  <si>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</si>
  <si>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</si>
  <si>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</si>
  <si>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</si>
  <si>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</si>
  <si>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</si>
  <si>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</si>
  <si>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</si>
  <si>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</si>
  <si>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</si>
  <si>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</si>
  <si>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</si>
  <si>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</si>
  <si>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</si>
  <si>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</si>
  <si>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</si>
  <si>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</si>
  <si>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</si>
  <si>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</si>
  <si>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</si>
  <si>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</si>
  <si>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</si>
  <si>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</si>
  <si>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</si>
  <si>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</si>
  <si>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</si>
  <si>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</si>
  <si>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</si>
  <si>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</si>
  <si>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</si>
  <si>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</si>
  <si>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</si>
  <si>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</si>
  <si>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</si>
  <si>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</si>
  <si>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</si>
  <si>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</si>
  <si>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</si>
  <si>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</si>
  <si>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</si>
  <si>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</si>
  <si>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</si>
  <si>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</si>
  <si>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</si>
  <si>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</si>
  <si>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</si>
  <si>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</si>
  <si>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</si>
  <si>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</si>
  <si>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</si>
  <si>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</si>
  <si>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</si>
  <si>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</si>
  <si>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</si>
  <si>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</si>
  <si>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</si>
  <si>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</si>
  <si>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</si>
  <si>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</si>
  <si>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</si>
  <si>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</si>
  <si>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</si>
  <si>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</si>
  <si>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</si>
  <si>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</si>
  <si>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</si>
  <si>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</si>
  <si>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</si>
  <si>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</si>
  <si>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</si>
  <si>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</si>
  <si>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</si>
  <si>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</si>
  <si>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</si>
  <si>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</si>
  <si>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</si>
  <si>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</si>
  <si>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</si>
  <si>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</si>
  <si>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</si>
  <si>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</si>
  <si>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</si>
  <si>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</si>
  <si>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</si>
  <si>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</si>
  <si>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</si>
  <si>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</si>
  <si>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</si>
  <si>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</si>
  <si>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</si>
  <si>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</si>
  <si>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</si>
  <si>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</si>
  <si>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</si>
  <si>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</si>
  <si>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</si>
  <si>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</si>
  <si>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</si>
  <si>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</si>
  <si>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</si>
  <si>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</si>
  <si>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</si>
  <si>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</si>
  <si>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</si>
  <si>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</si>
  <si>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</si>
  <si>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</si>
  <si>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</si>
  <si>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</si>
  <si>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</si>
  <si>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</si>
  <si>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</si>
  <si>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</si>
  <si>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</si>
  <si>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</si>
  <si>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</si>
  <si>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</si>
  <si>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</si>
  <si>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</si>
  <si>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</si>
  <si>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</si>
  <si>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</si>
  <si>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</si>
  <si>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</si>
  <si>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</si>
  <si>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</si>
  <si>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</si>
  <si>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</si>
  <si>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</si>
  <si>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</si>
  <si>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</si>
  <si>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</si>
  <si>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</si>
  <si>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</si>
  <si>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</si>
  <si>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</si>
  <si>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</si>
  <si>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</si>
  <si>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</si>
  <si>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</si>
  <si>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</si>
  <si>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</si>
  <si>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</si>
  <si>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</si>
  <si>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</si>
  <si>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</si>
  <si>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</si>
  <si>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</si>
  <si>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</si>
  <si>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</si>
  <si>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</si>
  <si>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</si>
  <si>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</si>
  <si>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</si>
  <si>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</si>
  <si>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</si>
  <si>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</si>
  <si>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</si>
  <si>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</si>
  <si>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</si>
  <si>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</si>
  <si>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</si>
  <si>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</si>
  <si>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</si>
  <si>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</si>
  <si>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</si>
  <si>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</si>
  <si>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</si>
  <si>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</si>
  <si>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</si>
  <si>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</si>
  <si>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</si>
  <si>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</si>
  <si>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</si>
  <si>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</si>
  <si>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</si>
  <si>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</si>
  <si>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</si>
  <si>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</si>
  <si>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</si>
  <si>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</si>
  <si>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</si>
  <si>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</si>
  <si>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</si>
  <si>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</si>
  <si>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</si>
  <si>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</si>
  <si>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</si>
  <si>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</si>
  <si>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</si>
  <si>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</si>
  <si>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</si>
  <si>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</si>
  <si>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</si>
  <si>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</si>
  <si>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</si>
  <si>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</si>
  <si>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</si>
  <si>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</si>
  <si>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</si>
  <si>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</si>
  <si>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</si>
  <si>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</si>
  <si>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</si>
  <si>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</si>
  <si>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</si>
  <si>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</si>
  <si>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</si>
  <si>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</si>
  <si>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</si>
  <si>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</si>
  <si>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</si>
  <si>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</si>
  <si>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</si>
  <si>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</si>
  <si>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</si>
  <si>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</si>
  <si>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</si>
  <si>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</si>
  <si>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</si>
  <si>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</si>
  <si>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</si>
  <si>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</si>
  <si>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</si>
  <si>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</si>
  <si>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</si>
  <si>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</si>
  <si>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</si>
  <si>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</si>
  <si>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</si>
  <si>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</si>
  <si>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</si>
  <si>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</si>
  <si>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</si>
  <si>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</si>
  <si>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</si>
  <si>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</si>
  <si>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</si>
  <si>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</si>
  <si>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</si>
  <si>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</si>
  <si>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</si>
  <si>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</si>
  <si>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</si>
  <si>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</si>
  <si>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</si>
  <si>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</si>
  <si>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</si>
  <si>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</si>
  <si>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</si>
  <si>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</si>
  <si>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</si>
  <si>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</si>
  <si>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</si>
  <si>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</si>
  <si>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</si>
  <si>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</si>
  <si>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</si>
  <si>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</si>
  <si>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</si>
  <si>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</si>
  <si>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</si>
  <si>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</si>
  <si>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</si>
  <si>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</si>
  <si>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</si>
  <si>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</si>
  <si>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</si>
  <si>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</si>
  <si>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</si>
  <si>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</si>
  <si>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</si>
  <si>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</si>
  <si>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</si>
  <si>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</si>
  <si>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</si>
  <si>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</si>
  <si>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</si>
  <si>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</si>
  <si>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</si>
  <si>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</si>
  <si>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</si>
  <si>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</si>
  <si>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</si>
  <si>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</si>
  <si>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</si>
  <si>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</si>
  <si>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</si>
  <si>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</si>
  <si>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</si>
  <si>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</si>
  <si>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</si>
  <si>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</si>
  <si>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</si>
  <si>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</si>
  <si>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</si>
  <si>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</si>
  <si>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</si>
  <si>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</si>
  <si>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</si>
  <si>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</si>
  <si>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</si>
  <si>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</si>
  <si>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</si>
  <si>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</si>
  <si>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</si>
  <si>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</si>
  <si>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</si>
  <si>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</si>
  <si>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</si>
  <si>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</si>
  <si>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</si>
  <si>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</si>
  <si>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</si>
  <si>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</si>
  <si>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</si>
  <si>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</si>
  <si>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</si>
  <si>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</si>
  <si>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</si>
  <si>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</si>
  <si>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</si>
  <si>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</si>
  <si>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</si>
  <si>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</si>
  <si>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</si>
  <si>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</si>
  <si>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</si>
  <si>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</si>
  <si>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</si>
  <si>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</si>
  <si>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</si>
  <si>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</si>
  <si>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</si>
  <si>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</si>
  <si>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</si>
  <si>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</si>
  <si>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</si>
  <si>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</si>
  <si>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</si>
  <si>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</si>
  <si>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</si>
  <si>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</si>
  <si>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</si>
  <si>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</si>
  <si>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</si>
  <si>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</si>
  <si>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</si>
  <si>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</si>
  <si>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</si>
  <si>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</si>
  <si>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</si>
  <si>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</si>
  <si>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</si>
  <si>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</si>
  <si>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</si>
  <si>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</si>
  <si>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</si>
  <si>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</si>
  <si>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</si>
  <si>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</si>
  <si>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</si>
  <si>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</si>
  <si>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</si>
  <si>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</si>
  <si>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</si>
  <si>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</si>
  <si>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</si>
  <si>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</si>
  <si>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</si>
  <si>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</si>
  <si>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</si>
  <si>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</si>
  <si>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</si>
  <si>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</si>
  <si>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</si>
  <si>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</si>
  <si>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</si>
  <si>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</si>
  <si>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</si>
  <si>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</si>
  <si>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</si>
  <si>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</si>
  <si>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</si>
  <si>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</si>
  <si>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</si>
  <si>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</si>
  <si>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</si>
  <si>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</si>
  <si>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</si>
  <si>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</si>
  <si>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</si>
  <si>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</si>
  <si>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</si>
  <si>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</si>
  <si>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</si>
  <si>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</si>
  <si>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</si>
  <si>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</si>
  <si>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</si>
  <si>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</si>
  <si>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</si>
  <si>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</si>
  <si>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</si>
  <si>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</si>
  <si>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</si>
  <si>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</si>
  <si>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</si>
  <si>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</si>
  <si>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</si>
  <si>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</si>
  <si>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</si>
  <si>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</si>
  <si>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</si>
  <si>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</si>
  <si>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</si>
  <si>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</si>
  <si>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</si>
  <si>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</si>
  <si>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</si>
  <si>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</si>
  <si>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</si>
  <si>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</si>
  <si>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</si>
  <si>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</si>
  <si>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</si>
  <si>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</si>
  <si>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</si>
  <si>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</si>
  <si>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</si>
  <si>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</si>
  <si>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</si>
  <si>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</si>
  <si>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</si>
  <si>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</si>
  <si>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</si>
  <si>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</si>
  <si>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</si>
  <si>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</si>
  <si>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</si>
  <si>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</si>
  <si>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</si>
  <si>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</si>
  <si>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</si>
  <si>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</si>
  <si>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</si>
  <si>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</si>
  <si>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</si>
  <si>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</si>
  <si>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</si>
  <si>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</si>
  <si>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</si>
  <si>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</si>
  <si>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</si>
  <si>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</si>
  <si>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</si>
  <si>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</si>
  <si>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</si>
  <si>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</si>
  <si>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</si>
  <si>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</si>
  <si>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</si>
  <si>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</si>
  <si>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</si>
  <si>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</si>
  <si>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</si>
  <si>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</si>
  <si>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</si>
  <si>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</si>
  <si>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</si>
  <si>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</si>
  <si>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</si>
  <si>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</si>
  <si>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</si>
  <si>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</si>
  <si>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</si>
  <si>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</si>
  <si>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</si>
  <si>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</si>
  <si>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</si>
  <si>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</si>
  <si>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</si>
  <si>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</si>
  <si>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</si>
  <si>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</si>
  <si>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</si>
  <si>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</si>
  <si>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</si>
  <si>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</si>
  <si>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</si>
  <si>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</si>
  <si>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</si>
  <si>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</si>
  <si>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</si>
  <si>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</si>
  <si>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</si>
  <si>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</si>
  <si>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</si>
  <si>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</si>
  <si>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</si>
  <si>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</si>
  <si>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</si>
  <si>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</si>
  <si>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</si>
  <si>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</si>
  <si>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</si>
  <si>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</si>
  <si>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</si>
  <si>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</si>
  <si>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</si>
  <si>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</si>
  <si>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</si>
  <si>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</si>
  <si>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</si>
  <si>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</si>
  <si>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</si>
  <si>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</si>
  <si>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</si>
  <si>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</si>
  <si>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</si>
  <si>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</si>
  <si>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</si>
  <si>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</si>
  <si>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</si>
  <si>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</si>
  <si>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</si>
  <si>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</si>
  <si>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</si>
  <si>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</si>
  <si>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</si>
  <si>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</si>
  <si>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</si>
  <si>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</si>
  <si>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</si>
  <si>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</si>
  <si>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</si>
  <si>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</si>
  <si>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</si>
  <si>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</si>
  <si>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</si>
  <si>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</si>
  <si>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</si>
  <si>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</si>
  <si>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</si>
  <si>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</si>
  <si>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</si>
  <si>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</si>
  <si>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</si>
  <si>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</si>
  <si>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</si>
  <si>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</si>
  <si>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</si>
  <si>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</si>
  <si>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</si>
  <si>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</si>
  <si>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</si>
  <si>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</si>
  <si>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</si>
  <si>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</si>
  <si>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</si>
  <si>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</si>
  <si>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</si>
  <si>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</si>
  <si>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</si>
  <si>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</si>
  <si>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</si>
  <si>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</si>
  <si>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</si>
  <si>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</si>
  <si>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</si>
  <si>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</si>
  <si>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</si>
  <si>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</si>
  <si>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</si>
  <si>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</si>
  <si>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</si>
  <si>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</si>
  <si>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</si>
  <si>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</si>
  <si>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</si>
  <si>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</si>
  <si>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</si>
  <si>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</si>
  <si>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</si>
  <si>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</si>
  <si>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</si>
  <si>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</si>
  <si>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</si>
  <si>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</si>
  <si>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</si>
  <si>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</si>
  <si>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</si>
  <si>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</si>
  <si>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</si>
  <si>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</si>
  <si>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</si>
  <si>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</si>
  <si>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</si>
  <si>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</si>
  <si>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</si>
  <si>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</si>
  <si>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</si>
  <si>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</si>
  <si>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</si>
  <si>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</si>
  <si>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</si>
  <si>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</si>
  <si>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</si>
  <si>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</si>
  <si>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</si>
  <si>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</si>
  <si>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</si>
  <si>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</si>
  <si>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</si>
  <si>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</si>
  <si>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</si>
  <si>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</si>
  <si>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</si>
  <si>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</si>
  <si>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</si>
  <si>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</si>
  <si>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</si>
  <si>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</si>
  <si>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</si>
  <si>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</si>
  <si>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</si>
  <si>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</si>
  <si>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</si>
  <si>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</si>
  <si>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</si>
  <si>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</si>
  <si>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</si>
  <si>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</si>
  <si>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</si>
  <si>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</si>
  <si>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</si>
  <si>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</si>
  <si>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</si>
  <si>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</si>
  <si>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</si>
  <si>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</si>
  <si>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</si>
  <si>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</si>
  <si>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</si>
  <si>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</si>
  <si>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</si>
  <si>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</si>
  <si>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</si>
  <si>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</si>
  <si>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</si>
  <si>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</si>
  <si>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</si>
  <si>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</si>
  <si>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</si>
  <si>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</si>
  <si>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</si>
  <si>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</si>
  <si>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</si>
  <si>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</si>
  <si>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</si>
  <si>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</si>
  <si>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</si>
  <si>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</si>
  <si>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</si>
  <si>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</si>
  <si>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</si>
  <si>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</si>
  <si>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</si>
  <si>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</si>
  <si>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</si>
  <si>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</si>
  <si>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</si>
  <si>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</si>
  <si>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</si>
  <si>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</si>
  <si>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</si>
  <si>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</si>
  <si>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</si>
  <si>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</si>
  <si>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</si>
  <si>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</si>
  <si>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</si>
  <si>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</si>
  <si>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</si>
  <si>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</si>
  <si>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</si>
  <si>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</si>
  <si>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</si>
  <si>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</si>
  <si>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</si>
  <si>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</si>
  <si>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</si>
  <si>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</si>
  <si>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</si>
  <si>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</si>
  <si>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</si>
  <si>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</si>
  <si>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</si>
  <si>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</si>
  <si>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</si>
  <si>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</si>
  <si>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</si>
  <si>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</si>
  <si>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</si>
  <si>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</si>
  <si>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</si>
  <si>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</si>
  <si>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</si>
  <si>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</si>
  <si>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</si>
  <si>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</si>
  <si>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</si>
  <si>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</si>
  <si>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</si>
  <si>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</si>
  <si>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</si>
  <si>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</si>
  <si>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</si>
  <si>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</si>
  <si>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</si>
  <si>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</si>
  <si>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</si>
  <si>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</si>
  <si>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</si>
  <si>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</si>
  <si>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</si>
  <si>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</si>
  <si>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</si>
  <si>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</si>
  <si>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</si>
  <si>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</si>
  <si>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</si>
  <si>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</si>
  <si>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</si>
  <si>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</si>
  <si>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</si>
  <si>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</si>
  <si>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</si>
  <si>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</si>
  <si>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</si>
  <si>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</si>
  <si>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</si>
  <si>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</si>
  <si>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</si>
  <si>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</si>
  <si>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</si>
  <si>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</si>
  <si>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</si>
  <si>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</si>
  <si>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</si>
  <si>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</si>
  <si>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</si>
  <si>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</si>
  <si>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</si>
  <si>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</si>
  <si>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</si>
  <si>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</si>
  <si>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</si>
  <si>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</si>
  <si>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</si>
  <si>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</si>
  <si>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</si>
  <si>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</si>
  <si>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</si>
  <si>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</si>
  <si>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</si>
  <si>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</si>
  <si>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</si>
  <si>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</si>
  <si>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</si>
  <si>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</si>
  <si>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</si>
  <si>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</si>
  <si>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</si>
  <si>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</si>
  <si>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</si>
  <si>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</si>
  <si>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</si>
  <si>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</si>
  <si>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</si>
  <si>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</si>
  <si>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</si>
  <si>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</si>
  <si>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</si>
  <si>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</si>
  <si>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</si>
  <si>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</si>
  <si>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</si>
  <si>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</si>
  <si>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</si>
  <si>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</si>
  <si>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</si>
  <si>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</si>
  <si>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</si>
  <si>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</si>
  <si>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</si>
  <si>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</si>
  <si>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</si>
  <si>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</si>
  <si>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</si>
  <si>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</si>
  <si>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</si>
  <si>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</si>
  <si>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</si>
  <si>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</si>
  <si>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</si>
  <si>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</si>
  <si>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</si>
  <si>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</si>
  <si>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</si>
  <si>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</si>
  <si>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</si>
  <si>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</si>
  <si>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</si>
  <si>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</si>
  <si>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</si>
  <si>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</si>
  <si>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</si>
  <si>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</si>
  <si>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</si>
  <si>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</si>
  <si>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</si>
  <si>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</si>
  <si>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</si>
  <si>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</si>
  <si>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</si>
  <si>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</si>
  <si>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</si>
  <si>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</si>
  <si>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</si>
  <si>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</si>
  <si>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</si>
  <si>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</si>
  <si>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</si>
  <si>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</si>
  <si>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</si>
  <si>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</si>
  <si>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</si>
  <si>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</si>
  <si>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</si>
  <si>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</si>
  <si>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</si>
  <si>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</si>
  <si>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</si>
  <si>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</si>
  <si>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</si>
  <si>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</si>
  <si>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</si>
  <si>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</si>
  <si>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</si>
  <si>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</si>
  <si>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</si>
  <si>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</si>
  <si>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</si>
  <si>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</si>
  <si>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</si>
  <si>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</si>
  <si>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</si>
  <si>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</si>
  <si>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</si>
  <si>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</si>
  <si>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</si>
  <si>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</si>
  <si>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</si>
  <si>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</si>
  <si>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</si>
  <si>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</si>
  <si>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</si>
  <si>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</si>
  <si>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</si>
  <si>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</si>
  <si>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</si>
  <si>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</si>
  <si>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</si>
  <si>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</si>
  <si>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</si>
  <si>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</si>
  <si>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</si>
  <si>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</si>
  <si>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</si>
  <si>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</si>
  <si>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</si>
  <si>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</si>
  <si>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</si>
  <si>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</si>
  <si>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</si>
  <si>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</si>
  <si>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</si>
  <si>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</si>
  <si>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</si>
  <si>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</si>
  <si>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</si>
  <si>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</si>
  <si>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</si>
  <si>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</si>
  <si>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</si>
  <si>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</si>
  <si>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</si>
  <si>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</si>
  <si>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</si>
  <si>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</si>
  <si>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</si>
  <si>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</si>
  <si>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</si>
  <si>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</si>
  <si>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</si>
  <si>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</si>
  <si>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</si>
  <si>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</si>
  <si>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</si>
  <si>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</si>
  <si>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</si>
  <si>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</si>
  <si>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</si>
  <si>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</si>
  <si>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</si>
  <si>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</si>
  <si>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</si>
  <si>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</si>
  <si>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</si>
  <si>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</si>
  <si>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</si>
  <si>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</si>
  <si>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</si>
  <si>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</si>
  <si>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</si>
  <si>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</si>
  <si>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</si>
  <si>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</si>
  <si>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</si>
  <si>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</si>
  <si>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</si>
  <si>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</si>
  <si>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</si>
  <si>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</si>
  <si>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</si>
  <si>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</si>
  <si>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</si>
  <si>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</si>
  <si>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</si>
  <si>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</si>
  <si>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</si>
  <si>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</si>
  <si>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</si>
  <si>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</si>
  <si>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</si>
  <si>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</si>
  <si>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</si>
  <si>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</si>
  <si>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</si>
  <si>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</si>
  <si>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</si>
  <si>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</si>
  <si>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</si>
  <si>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</si>
  <si>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</si>
  <si>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</si>
  <si>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</si>
  <si>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</si>
  <si>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</si>
  <si>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</si>
  <si>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</si>
  <si>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</si>
  <si>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</si>
  <si>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</si>
  <si>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</si>
  <si>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</si>
  <si>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</si>
  <si>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</si>
  <si>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</si>
  <si>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</si>
  <si>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</si>
  <si>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</si>
  <si>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</si>
  <si>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</si>
  <si>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</si>
  <si>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</si>
  <si>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</si>
  <si>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</si>
  <si>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</si>
  <si>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</si>
  <si>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</si>
  <si>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</si>
  <si>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</si>
  <si>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</si>
  <si>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</si>
  <si>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</si>
  <si>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</si>
  <si>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</si>
  <si>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</si>
  <si>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</si>
  <si>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</si>
  <si>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</si>
  <si>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</si>
  <si>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</si>
  <si>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</si>
  <si>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</si>
  <si>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</si>
  <si>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</si>
  <si>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</si>
  <si>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</si>
  <si>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</si>
  <si>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</si>
  <si>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</si>
  <si>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</si>
  <si>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</si>
  <si>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</si>
  <si>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</si>
  <si>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</si>
  <si>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</si>
  <si>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</si>
  <si>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</si>
  <si>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</si>
  <si>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</si>
  <si>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</si>
  <si>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</si>
  <si>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</si>
  <si>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</si>
  <si>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</si>
  <si>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</si>
  <si>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</si>
  <si>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</si>
  <si>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</si>
  <si>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</si>
  <si>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</si>
  <si>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</si>
  <si>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</si>
  <si>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</si>
  <si>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</si>
  <si>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</si>
  <si>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</si>
  <si>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</si>
  <si>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</si>
  <si>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</si>
  <si>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</si>
  <si>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</si>
  <si>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</si>
  <si>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</si>
  <si>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</si>
  <si>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</si>
  <si>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</si>
  <si>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</si>
  <si>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</si>
  <si>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</si>
  <si>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</si>
  <si>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</si>
  <si>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</si>
  <si>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</si>
  <si>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</si>
  <si>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</si>
  <si>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</si>
  <si>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</si>
  <si>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</si>
  <si>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</si>
  <si>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</si>
  <si>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</si>
  <si>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</si>
  <si>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</si>
  <si>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</si>
  <si>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</si>
  <si>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</si>
  <si>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</si>
  <si>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</si>
  <si>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</si>
  <si>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</si>
  <si>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</si>
  <si>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</si>
  <si>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</si>
  <si>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</si>
  <si>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</si>
  <si>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</si>
  <si>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</si>
  <si>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</si>
  <si>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</si>
  <si>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</si>
  <si>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</si>
  <si>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</si>
  <si>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</si>
  <si>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</si>
  <si>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</si>
  <si>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</si>
  <si>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</si>
  <si>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</si>
  <si>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</si>
  <si>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</si>
  <si>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</si>
  <si>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</si>
  <si>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</si>
  <si>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</si>
  <si>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</si>
  <si>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</si>
  <si>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</si>
  <si>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</si>
  <si>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</si>
  <si>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</si>
  <si>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</si>
  <si>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</si>
  <si>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</si>
  <si>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</si>
  <si>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</si>
  <si>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</si>
  <si>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</si>
  <si>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</si>
  <si>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</si>
  <si>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</si>
  <si>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</si>
  <si>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</si>
  <si>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</si>
  <si>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</si>
  <si>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</si>
  <si>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</si>
  <si>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</si>
  <si>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</si>
  <si>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</si>
  <si>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</si>
  <si>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</si>
  <si>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</si>
  <si>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</si>
  <si>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</si>
  <si>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</si>
  <si>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</si>
  <si>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</si>
  <si>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</si>
  <si>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</si>
  <si>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</si>
  <si>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</si>
  <si>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</si>
  <si>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</si>
  <si>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</si>
  <si>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</si>
  <si>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</si>
  <si>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</si>
  <si>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</si>
  <si>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</si>
  <si>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</si>
  <si>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</si>
  <si>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</si>
  <si>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</si>
  <si>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</si>
  <si>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</si>
  <si>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</si>
  <si>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</si>
  <si>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</si>
  <si>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</si>
  <si>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</si>
  <si>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</si>
  <si>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</si>
  <si>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</si>
  <si>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</si>
  <si>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</si>
  <si>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</si>
  <si>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</si>
  <si>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</si>
  <si>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</si>
  <si>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</si>
  <si>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</si>
  <si>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</si>
  <si>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</si>
  <si>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</si>
  <si>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</si>
  <si>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</si>
  <si>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</si>
  <si>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</si>
  <si>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</si>
  <si>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</si>
  <si>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</si>
  <si>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</si>
  <si>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</si>
  <si>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</si>
  <si>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</si>
  <si>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</si>
  <si>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</si>
  <si>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</si>
  <si>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</si>
  <si>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</si>
  <si>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</si>
  <si>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</si>
  <si>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</si>
  <si>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</si>
  <si>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</si>
  <si>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</si>
  <si>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</si>
  <si>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</si>
  <si>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</si>
  <si>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</si>
  <si>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</si>
  <si>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</si>
  <si>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</si>
  <si>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</si>
  <si>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</si>
  <si>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</si>
  <si>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</si>
  <si>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</si>
  <si>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</si>
  <si>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</si>
  <si>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</si>
  <si>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</si>
  <si>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</si>
  <si>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</si>
  <si>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</si>
  <si>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</si>
  <si>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</si>
  <si>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</si>
  <si>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</si>
  <si>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</si>
  <si>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</si>
  <si>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</si>
  <si>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</si>
  <si>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</si>
  <si>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</si>
  <si>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</si>
  <si>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</si>
  <si>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</si>
  <si>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</si>
  <si>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</si>
  <si>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</si>
  <si>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</si>
  <si>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</si>
  <si>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</si>
  <si>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</si>
  <si>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</si>
  <si>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</si>
  <si>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</si>
  <si>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</si>
  <si>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</si>
  <si>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</si>
  <si>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</si>
  <si>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</si>
  <si>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</si>
  <si>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</si>
  <si>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</si>
  <si>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</si>
  <si>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</si>
  <si>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</si>
  <si>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</si>
  <si>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</si>
  <si>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</si>
  <si>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</si>
  <si>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</si>
  <si>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</si>
  <si>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</si>
  <si>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</si>
  <si>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</si>
  <si>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</si>
  <si>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</si>
  <si>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</si>
  <si>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</si>
  <si>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</si>
  <si>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</si>
  <si>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</si>
  <si>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</si>
  <si>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</si>
  <si>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</si>
  <si>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</si>
  <si>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</si>
  <si>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</si>
  <si>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</si>
  <si>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</si>
  <si>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</si>
  <si>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</si>
  <si>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</si>
  <si>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</si>
  <si>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</si>
  <si>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</si>
  <si>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</si>
  <si>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</si>
  <si>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</si>
  <si>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</si>
  <si>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</si>
  <si>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</si>
  <si>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</si>
  <si>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</si>
  <si>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</si>
  <si>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</si>
  <si>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</si>
  <si>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</si>
  <si>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</si>
  <si>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</si>
  <si>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</si>
  <si>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</si>
  <si>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</si>
  <si>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</si>
  <si>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</si>
  <si>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</si>
  <si>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</si>
  <si>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</si>
  <si>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</si>
  <si>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</si>
  <si>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</si>
  <si>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</si>
  <si>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</si>
  <si>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</si>
  <si>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</si>
  <si>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</si>
  <si>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</si>
  <si>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</si>
  <si>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</si>
  <si>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</si>
  <si>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</si>
  <si>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</si>
  <si>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</si>
  <si>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</si>
  <si>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</si>
  <si>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</si>
  <si>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</si>
  <si>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</si>
  <si>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</si>
  <si>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</si>
  <si>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</si>
  <si>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</si>
  <si>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</si>
  <si>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</si>
  <si>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</si>
  <si>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</si>
  <si>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</si>
  <si>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</si>
  <si>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</si>
  <si>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</si>
  <si>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</si>
  <si>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</si>
  <si>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</si>
  <si>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</si>
  <si>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</si>
  <si>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</si>
  <si>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</si>
  <si>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</si>
  <si>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</si>
  <si>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</si>
  <si>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</si>
  <si>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</si>
  <si>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</si>
  <si>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</si>
  <si>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</si>
  <si>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</si>
  <si>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</si>
  <si>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</si>
  <si>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</si>
  <si>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</si>
  <si>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</si>
  <si>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</si>
  <si>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</si>
  <si>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</si>
  <si>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</si>
  <si>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</si>
  <si>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</si>
  <si>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</si>
  <si>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</si>
  <si>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</si>
  <si>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</si>
  <si>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</si>
  <si>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</si>
  <si>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</si>
  <si>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</si>
  <si>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</si>
  <si>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</si>
  <si>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</si>
  <si>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</si>
  <si>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</si>
  <si>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</si>
  <si>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</si>
  <si>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</si>
  <si>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</si>
  <si>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</si>
  <si>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</si>
  <si>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</si>
  <si>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</si>
  <si>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</si>
  <si>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</si>
  <si>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</si>
  <si>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</si>
  <si>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</si>
  <si>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</si>
  <si>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</si>
  <si>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</si>
  <si>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</si>
  <si>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</si>
  <si>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</si>
  <si>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</si>
  <si>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</si>
  <si>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</si>
  <si>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</si>
  <si>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</si>
  <si>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</si>
  <si>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</si>
  <si>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</si>
  <si>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</si>
  <si>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</si>
  <si>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</si>
  <si>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</si>
  <si>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</si>
  <si>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</si>
  <si>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</si>
  <si>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</si>
  <si>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</si>
  <si>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</si>
  <si>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</si>
  <si>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</si>
  <si>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</si>
  <si>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</si>
  <si>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</si>
  <si>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</si>
  <si>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</si>
  <si>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</si>
  <si>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</si>
  <si>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</si>
  <si>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</si>
  <si>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</si>
  <si>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</si>
  <si>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</si>
  <si>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</si>
  <si>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</si>
  <si>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</si>
  <si>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</si>
  <si>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</si>
  <si>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</si>
  <si>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</si>
  <si>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</si>
  <si>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</si>
  <si>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</si>
  <si>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</si>
  <si>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</si>
  <si>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</si>
  <si>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</si>
  <si>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</si>
  <si>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</si>
  <si>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</si>
  <si>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</si>
  <si>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</si>
  <si>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</si>
  <si>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</si>
  <si>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</si>
  <si>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</si>
  <si>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</si>
  <si>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</si>
  <si>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</si>
  <si>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</si>
  <si>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</si>
  <si>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</si>
  <si>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</si>
  <si>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</si>
  <si>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</si>
  <si>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</si>
  <si>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</si>
  <si>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</si>
  <si>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</si>
  <si>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</si>
  <si>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</si>
  <si>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</si>
  <si>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</si>
  <si>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</si>
  <si>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</si>
  <si>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</si>
  <si>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</si>
  <si>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</si>
  <si>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</si>
  <si>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</si>
  <si>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</si>
  <si>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</si>
  <si>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</si>
  <si>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</si>
  <si>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</si>
  <si>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</si>
  <si>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</si>
  <si>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</si>
  <si>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</si>
  <si>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</si>
  <si>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</si>
  <si>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</si>
  <si>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</si>
  <si>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</si>
  <si>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</si>
  <si>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</si>
  <si>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</si>
  <si>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</si>
  <si>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</si>
  <si>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</si>
  <si>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</si>
  <si>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</si>
  <si>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</si>
  <si>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</si>
  <si>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</si>
  <si>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</si>
  <si>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</si>
  <si>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</si>
  <si>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</si>
  <si>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</si>
  <si>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</si>
  <si>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</si>
  <si>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</si>
  <si>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</si>
  <si>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</si>
  <si>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</si>
  <si>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</si>
  <si>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</si>
  <si>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</si>
  <si>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</si>
  <si>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</si>
  <si>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</si>
  <si>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</si>
  <si>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</si>
  <si>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</si>
  <si>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</si>
  <si>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</si>
  <si>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</si>
  <si>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</si>
  <si>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</si>
  <si>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</si>
  <si>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</si>
  <si>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</si>
  <si>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</si>
  <si>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</si>
  <si>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</si>
  <si>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</si>
  <si>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</si>
  <si>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</si>
  <si>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</si>
  <si>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</si>
  <si>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</si>
  <si>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</si>
  <si>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</si>
  <si>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</si>
  <si>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</si>
  <si>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</si>
  <si>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</si>
  <si>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</si>
  <si>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</si>
  <si>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</si>
  <si>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</si>
  <si>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</si>
  <si>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</si>
  <si>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</si>
  <si>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</si>
  <si>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</si>
  <si>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</si>
  <si>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</si>
  <si>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</si>
  <si>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</si>
  <si>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</si>
  <si>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</si>
  <si>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</si>
  <si>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</si>
  <si>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</si>
  <si>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</si>
  <si>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</si>
  <si>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</si>
  <si>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</si>
  <si>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</si>
  <si>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</si>
  <si>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</si>
  <si>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</si>
  <si>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</si>
  <si>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</si>
  <si>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</si>
  <si>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</si>
  <si>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</si>
  <si>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</si>
  <si>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</si>
  <si>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</si>
  <si>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</si>
  <si>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</si>
  <si>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</si>
  <si>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</si>
  <si>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</si>
  <si>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</si>
  <si>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</si>
  <si>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</si>
  <si>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</si>
  <si>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</si>
  <si>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</si>
  <si>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</si>
  <si>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</si>
  <si>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</si>
  <si>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</si>
  <si>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</si>
  <si>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</si>
  <si>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</si>
  <si>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</si>
  <si>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</si>
  <si>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</si>
  <si>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</si>
  <si>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</si>
  <si>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</si>
  <si>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</si>
  <si>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</si>
  <si>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</si>
  <si>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</si>
  <si>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</si>
  <si>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</si>
  <si>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</si>
  <si>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</si>
  <si>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</si>
  <si>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</si>
  <si>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</si>
  <si>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</si>
  <si>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</si>
  <si>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</si>
  <si>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</si>
  <si>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</si>
  <si>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</si>
  <si>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</si>
  <si>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</si>
  <si>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</si>
  <si>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</si>
  <si>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</si>
  <si>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</si>
  <si>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</si>
  <si>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</si>
  <si>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</si>
  <si>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</si>
  <si>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</si>
  <si>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</si>
  <si>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</si>
  <si>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</si>
  <si>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</si>
  <si>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</si>
  <si>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</si>
  <si>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</si>
  <si>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</si>
  <si>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</si>
  <si>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</si>
  <si>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</si>
  <si>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</si>
  <si>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</si>
  <si>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</si>
  <si>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</si>
  <si>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</si>
  <si>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</si>
  <si>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</si>
  <si>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</si>
  <si>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</si>
  <si>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</si>
  <si>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</si>
  <si>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</si>
  <si>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</si>
  <si>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</si>
  <si>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</si>
  <si>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</si>
  <si>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</si>
  <si>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</si>
  <si>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</si>
  <si>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</si>
  <si>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</si>
  <si>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</si>
  <si>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</si>
  <si>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</si>
  <si>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</si>
  <si>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</si>
  <si>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</si>
  <si>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</si>
  <si>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</si>
  <si>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</si>
  <si>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</si>
  <si>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</si>
  <si>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</si>
  <si>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</si>
  <si>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</si>
  <si>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</si>
  <si>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</si>
  <si>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</si>
  <si>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</si>
  <si>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</si>
  <si>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</si>
  <si>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</si>
  <si>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</si>
  <si>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</si>
  <si>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</si>
  <si>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</si>
  <si>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</si>
  <si>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</si>
  <si>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</si>
  <si>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</si>
  <si>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</si>
  <si>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</si>
  <si>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</si>
  <si>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</si>
  <si>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</si>
  <si>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</si>
  <si>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</si>
  <si>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</si>
  <si>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</si>
  <si>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</si>
  <si>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</si>
  <si>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</si>
  <si>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</si>
  <si>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</si>
  <si>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</si>
  <si>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</si>
  <si>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</si>
  <si>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</si>
  <si>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</si>
  <si>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</si>
  <si>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</si>
  <si>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</si>
  <si>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</si>
  <si>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</si>
  <si>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</si>
  <si>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</si>
  <si>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</si>
  <si>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</si>
  <si>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</si>
  <si>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</si>
  <si>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</si>
  <si>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</si>
  <si>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</si>
  <si>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</si>
  <si>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</si>
  <si>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</si>
  <si>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</si>
  <si>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</si>
  <si>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</si>
  <si>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</si>
  <si>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</si>
  <si>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</si>
  <si>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</si>
  <si>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</si>
  <si>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</si>
  <si>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</si>
  <si>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</si>
  <si>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</si>
  <si>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</si>
  <si>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</si>
  <si>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</si>
  <si>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</si>
  <si>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</si>
  <si>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</si>
  <si>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</si>
  <si>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</si>
  <si>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</si>
  <si>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</si>
  <si>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</si>
  <si>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</si>
  <si>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</si>
  <si>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</si>
  <si>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</si>
  <si>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</si>
  <si>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</si>
  <si>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</si>
  <si>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</si>
  <si>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</si>
  <si>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</si>
  <si>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</si>
  <si>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</si>
  <si>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</si>
  <si>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</si>
  <si>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</si>
  <si>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</si>
  <si>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</si>
  <si>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</si>
  <si>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</si>
  <si>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</si>
  <si>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</si>
  <si>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</si>
  <si>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</si>
  <si>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</si>
  <si>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</si>
  <si>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</si>
  <si>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</si>
  <si>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</si>
  <si>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</si>
  <si>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</si>
  <si>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</si>
  <si>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</si>
  <si>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</si>
  <si>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</si>
  <si>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</si>
  <si>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</si>
  <si>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</si>
  <si>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</si>
  <si>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</si>
  <si>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</si>
  <si>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</si>
  <si>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</si>
  <si>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</si>
  <si>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</si>
  <si>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</si>
  <si>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</si>
  <si>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</si>
  <si>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</si>
  <si>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</si>
  <si>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</si>
  <si>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</si>
  <si>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</si>
  <si>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</si>
  <si>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</si>
  <si>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</si>
  <si>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</si>
  <si>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</si>
  <si>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</si>
  <si>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</si>
  <si>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</si>
  <si>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</si>
  <si>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</si>
  <si>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</si>
  <si>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</si>
  <si>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</si>
  <si>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</si>
  <si>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</si>
  <si>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</si>
  <si>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</si>
  <si>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</si>
  <si>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</si>
  <si>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</si>
  <si>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</si>
  <si>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</si>
  <si>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</si>
  <si>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</si>
  <si>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</si>
  <si>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</si>
  <si>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</si>
  <si>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</si>
  <si>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</si>
  <si>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</si>
  <si>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</si>
  <si>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</si>
  <si>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</si>
  <si>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</si>
  <si>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</si>
  <si>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</si>
  <si>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</si>
  <si>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</si>
  <si>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</si>
  <si>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</si>
  <si>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</si>
  <si>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</si>
  <si>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</si>
  <si>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</si>
  <si>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</si>
  <si>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</si>
  <si>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</si>
  <si>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</si>
  <si>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</si>
  <si>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</si>
  <si>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</si>
  <si>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</si>
  <si>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</si>
  <si>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</si>
  <si>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</si>
  <si>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</si>
  <si>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</si>
  <si>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</si>
  <si>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</si>
  <si>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</si>
  <si>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</si>
  <si>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</si>
  <si>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</si>
  <si>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</si>
  <si>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</si>
  <si>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</si>
  <si>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</si>
  <si>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</si>
  <si>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</si>
  <si>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</si>
  <si>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</si>
  <si>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</si>
  <si>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</si>
  <si>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</si>
  <si>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</si>
  <si>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</si>
  <si>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</si>
  <si>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</si>
  <si>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</si>
  <si>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</si>
  <si>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</si>
  <si>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</si>
  <si>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</si>
  <si>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</si>
  <si>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</si>
  <si>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</si>
  <si>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</si>
  <si>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</si>
  <si>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</si>
  <si>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</si>
  <si>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</si>
  <si>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</si>
  <si>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</si>
  <si>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</si>
  <si>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</si>
  <si>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</si>
  <si>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</si>
  <si>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</si>
  <si>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</si>
  <si>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</si>
  <si>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</si>
  <si>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</si>
  <si>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</si>
  <si>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</si>
  <si>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</si>
  <si>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</si>
  <si>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</si>
  <si>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</si>
  <si>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</si>
  <si>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</si>
  <si>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</si>
  <si>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</si>
  <si>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</si>
  <si>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</si>
  <si>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</si>
  <si>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</si>
  <si>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</si>
  <si>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</si>
  <si>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</si>
  <si>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</si>
  <si>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</si>
  <si>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</si>
  <si>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</si>
  <si>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</si>
  <si>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</si>
  <si>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</si>
  <si>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</si>
  <si>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</si>
  <si>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</si>
  <si>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</si>
  <si>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</si>
  <si>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</si>
  <si>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</si>
  <si>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</si>
  <si>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</si>
  <si>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</si>
  <si>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</si>
  <si>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</si>
  <si>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</si>
  <si>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</si>
  <si>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</si>
  <si>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</si>
  <si>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</si>
  <si>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</si>
  <si>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</si>
  <si>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</si>
  <si>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</si>
  <si>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</si>
  <si>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</si>
  <si>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</si>
  <si>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</si>
  <si>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</si>
  <si>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</si>
  <si>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</si>
  <si>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</si>
  <si>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</si>
  <si>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</si>
  <si>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</si>
  <si>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</si>
  <si>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</si>
  <si>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</si>
  <si>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</si>
  <si>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</si>
  <si>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</si>
  <si>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</si>
  <si>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</si>
  <si>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</si>
  <si>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</si>
  <si>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</si>
  <si>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</si>
  <si>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</si>
  <si>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</si>
  <si>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</si>
  <si>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</si>
  <si>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</si>
  <si>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</si>
  <si>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</si>
  <si>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</si>
  <si>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</si>
  <si>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</si>
  <si>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</si>
  <si>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</si>
  <si>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</si>
  <si>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</si>
  <si>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</si>
  <si>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</si>
  <si>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</si>
  <si>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</si>
  <si>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</si>
  <si>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</si>
  <si>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</si>
  <si>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</si>
  <si>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</si>
  <si>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</si>
  <si>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</si>
  <si>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</si>
  <si>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</si>
  <si>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</si>
  <si>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</si>
  <si>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</si>
  <si>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</si>
  <si>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</si>
  <si>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</si>
  <si>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</si>
  <si>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</si>
  <si>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</si>
  <si>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</si>
  <si>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</si>
  <si>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</si>
  <si>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</si>
  <si>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</si>
  <si>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</si>
  <si>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</si>
  <si>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</si>
  <si>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</si>
  <si>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</si>
  <si>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</si>
  <si>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</si>
  <si>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</si>
  <si>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</si>
  <si>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</si>
  <si>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</si>
  <si>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</si>
  <si>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</si>
  <si>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</si>
  <si>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</si>
  <si>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</si>
  <si>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</si>
  <si>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</si>
  <si>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</si>
  <si>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</si>
  <si>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</si>
  <si>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</si>
  <si>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</si>
  <si>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</si>
  <si>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</si>
  <si>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</si>
  <si>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</si>
  <si>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</si>
  <si>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</si>
  <si>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</si>
  <si>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</si>
  <si>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</si>
  <si>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</si>
  <si>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</si>
  <si>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</si>
  <si>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</si>
  <si>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</si>
  <si>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</si>
  <si>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</si>
  <si>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</si>
  <si>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</si>
  <si>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</si>
  <si>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</si>
  <si>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</si>
  <si>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</si>
  <si>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</si>
  <si>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</si>
  <si>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</si>
  <si>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</si>
  <si>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</si>
  <si>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</si>
  <si>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</si>
  <si>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</si>
  <si>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</si>
  <si>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</si>
  <si>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</si>
  <si>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</si>
  <si>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</si>
  <si>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</si>
  <si>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</si>
  <si>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</si>
  <si>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</si>
  <si>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</si>
  <si>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</si>
  <si>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</si>
  <si>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</si>
  <si>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</si>
  <si>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</si>
  <si>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</si>
  <si>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</si>
  <si>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</si>
  <si>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</si>
  <si>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</si>
  <si>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</si>
  <si>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</si>
  <si>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</si>
  <si>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</si>
  <si>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</si>
  <si>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</si>
  <si>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</si>
  <si>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</si>
  <si>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</si>
  <si>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</si>
  <si>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</si>
  <si>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</si>
  <si>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</si>
  <si>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</si>
  <si>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</si>
  <si>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</si>
  <si>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</si>
  <si>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</si>
  <si>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</si>
  <si>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</si>
  <si>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</si>
  <si>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</si>
  <si>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</si>
  <si>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</si>
  <si>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</si>
  <si>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</si>
  <si>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</si>
  <si>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</si>
  <si>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</si>
  <si>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</si>
  <si>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</si>
  <si>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</si>
  <si>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</si>
  <si>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</si>
  <si>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</si>
  <si>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</si>
  <si>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</si>
  <si>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</si>
  <si>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</si>
  <si>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</si>
  <si>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</si>
  <si>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</si>
  <si>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</si>
  <si>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</si>
  <si>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</si>
  <si>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</si>
  <si>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</si>
  <si>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</si>
  <si>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</si>
  <si>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</si>
  <si>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</si>
  <si>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</si>
  <si>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</si>
  <si>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</si>
  <si>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</si>
  <si>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</si>
  <si>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</si>
  <si>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</si>
  <si>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</si>
  <si>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</si>
  <si>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</si>
  <si>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</si>
  <si>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</si>
  <si>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</si>
  <si>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</si>
  <si>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</si>
  <si>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</si>
  <si>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</si>
  <si>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</si>
  <si>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</si>
  <si>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</si>
  <si>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</si>
  <si>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</si>
  <si>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</si>
  <si>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</si>
  <si>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</si>
  <si>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</si>
  <si>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</si>
  <si>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</si>
  <si>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</si>
  <si>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</si>
  <si>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</si>
  <si>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</si>
  <si>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</si>
  <si>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</si>
  <si>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</si>
  <si>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</si>
  <si>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</si>
  <si>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</si>
  <si>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</si>
  <si>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</si>
  <si>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</si>
  <si>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</si>
  <si>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</si>
  <si>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</si>
  <si>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</si>
  <si>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</si>
  <si>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</si>
  <si>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</si>
  <si>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</si>
  <si>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</si>
  <si>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</si>
  <si>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</si>
  <si>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</si>
  <si>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</si>
  <si>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</si>
  <si>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</si>
  <si>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</si>
  <si>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</si>
  <si>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</si>
  <si>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</si>
  <si>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</si>
  <si>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</si>
  <si>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</si>
  <si>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</si>
  <si>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</si>
  <si>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</si>
  <si>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</si>
  <si>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</si>
  <si>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</si>
  <si>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</si>
  <si>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</si>
  <si>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</si>
  <si>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</si>
  <si>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</si>
  <si>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</si>
  <si>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</si>
  <si>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</si>
  <si>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</si>
  <si>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</si>
  <si>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</si>
  <si>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</si>
  <si>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</si>
  <si>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</si>
  <si>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</si>
  <si>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</si>
  <si>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</si>
  <si>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</si>
  <si>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</si>
  <si>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</si>
  <si>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</si>
  <si>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</si>
  <si>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</si>
  <si>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</si>
  <si>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</si>
  <si>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</si>
  <si>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</si>
  <si>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</si>
  <si>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</si>
  <si>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</si>
  <si>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</si>
  <si>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</si>
  <si>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</si>
  <si>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</si>
  <si>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</si>
  <si>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</si>
  <si>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</si>
  <si>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</si>
  <si>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</si>
  <si>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</si>
  <si>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</si>
  <si>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</si>
  <si>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</si>
  <si>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</si>
  <si>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</si>
  <si>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</si>
  <si>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</si>
  <si>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</si>
  <si>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</si>
  <si>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</si>
  <si>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</si>
  <si>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</si>
  <si>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</si>
  <si>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</si>
  <si>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</si>
  <si>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</si>
  <si>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</si>
  <si>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</si>
  <si>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</si>
  <si>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</si>
  <si>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</si>
  <si>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</si>
  <si>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</si>
  <si>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</si>
  <si>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</si>
  <si>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</si>
  <si>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</si>
  <si>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</si>
  <si>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</si>
  <si>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</si>
  <si>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</si>
  <si>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</si>
  <si>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</si>
  <si>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</si>
  <si>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</si>
  <si>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</si>
  <si>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</si>
  <si>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</si>
  <si>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</si>
  <si>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</si>
  <si>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</si>
  <si>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</si>
  <si>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</si>
  <si>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</si>
  <si>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</si>
  <si>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</si>
  <si>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</si>
  <si>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</si>
  <si>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</si>
  <si>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</si>
  <si>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</si>
  <si>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</si>
  <si>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</si>
  <si>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</si>
  <si>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</si>
  <si>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</si>
  <si>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</si>
  <si>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</si>
  <si>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</si>
  <si>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</si>
  <si>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</si>
  <si>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</si>
  <si>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</si>
  <si>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</si>
  <si>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</si>
  <si>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</si>
  <si>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</si>
  <si>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</si>
  <si>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</si>
  <si>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</si>
  <si>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</si>
  <si>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</si>
  <si>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</si>
  <si>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</si>
  <si>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</si>
  <si>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</si>
  <si>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</si>
  <si>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</si>
  <si>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</si>
  <si>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</si>
  <si>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</si>
  <si>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</si>
  <si>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</si>
  <si>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</si>
  <si>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</si>
  <si>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</si>
  <si>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</si>
  <si>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</si>
  <si>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</si>
  <si>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</si>
  <si>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</si>
  <si>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</si>
  <si>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</si>
  <si>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</si>
  <si>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</si>
  <si>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</si>
  <si>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</si>
  <si>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</si>
  <si>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</si>
  <si>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</si>
  <si>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</si>
  <si>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</si>
  <si>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</si>
  <si>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</si>
  <si>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</si>
  <si>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</si>
  <si>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</si>
  <si>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</si>
  <si>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</si>
  <si>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</si>
  <si>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</si>
  <si>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</si>
  <si>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</si>
  <si>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</si>
  <si>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</si>
  <si>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</si>
  <si>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</si>
  <si>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</si>
  <si>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</si>
  <si>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</si>
  <si>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</si>
  <si>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</si>
  <si>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</si>
  <si>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</si>
  <si>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</si>
  <si>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</si>
  <si>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</si>
  <si>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</si>
  <si>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</si>
  <si>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</si>
  <si>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</si>
  <si>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</si>
  <si>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</si>
  <si>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</si>
  <si>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</si>
  <si>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</si>
  <si>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</si>
  <si>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</si>
  <si>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</si>
  <si>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</si>
  <si>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</si>
  <si>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</si>
  <si>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</si>
  <si>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</si>
  <si>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</si>
  <si>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</si>
  <si>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</si>
  <si>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</si>
  <si>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</si>
  <si>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</si>
  <si>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</si>
  <si>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</si>
  <si>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</si>
  <si>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</si>
  <si>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</si>
  <si>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</si>
  <si>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</si>
  <si>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</si>
  <si>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</si>
  <si>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</si>
  <si>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</si>
  <si>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</si>
  <si>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</si>
  <si>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</si>
  <si>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</si>
  <si>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</si>
  <si>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</si>
  <si>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</si>
  <si>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</si>
  <si>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</si>
  <si>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</si>
  <si>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</si>
  <si>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</si>
  <si>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</si>
  <si>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</si>
  <si>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</si>
  <si>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</si>
  <si>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</si>
  <si>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</si>
  <si>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</si>
  <si>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</si>
  <si>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</si>
  <si>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</si>
  <si>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</si>
  <si>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</si>
  <si>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</si>
  <si>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</si>
  <si>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</si>
  <si>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</si>
  <si>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</si>
  <si>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</si>
  <si>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</si>
  <si>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</si>
  <si>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</si>
  <si>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</si>
  <si>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</si>
  <si>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</si>
  <si>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</si>
  <si>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</si>
  <si>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</si>
  <si>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</si>
  <si>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</si>
  <si>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</si>
  <si>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</si>
  <si>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</si>
  <si>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</si>
  <si>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</si>
  <si>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</si>
  <si>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</si>
  <si>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</si>
  <si>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</si>
  <si>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</si>
  <si>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</si>
  <si>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</si>
  <si>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</si>
  <si>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</si>
  <si>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</si>
  <si>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</si>
  <si>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</si>
  <si>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</si>
  <si>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</si>
  <si>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</si>
  <si>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</si>
  <si>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</si>
  <si>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</si>
  <si>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</si>
  <si>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</si>
  <si>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</si>
  <si>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</si>
  <si>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</si>
  <si>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</si>
  <si>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</si>
  <si>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</si>
  <si>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</si>
  <si>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</si>
  <si>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</si>
  <si>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</si>
  <si>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</si>
  <si>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</si>
  <si>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</si>
  <si>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</si>
  <si>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</si>
  <si>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</si>
  <si>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</si>
  <si>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</si>
  <si>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</si>
  <si>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</si>
  <si>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</si>
  <si>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</si>
  <si>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</si>
  <si>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</si>
  <si>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</si>
  <si>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</si>
  <si>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</si>
  <si>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</si>
  <si>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</si>
  <si>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</si>
  <si>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</si>
  <si>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</si>
  <si>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</si>
  <si>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</si>
  <si>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</si>
  <si>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</si>
  <si>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</si>
  <si>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</si>
  <si>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</si>
  <si>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</si>
  <si>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</si>
  <si>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</si>
  <si>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</si>
  <si>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</si>
  <si>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</si>
  <si>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</si>
  <si>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</si>
  <si>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</si>
  <si>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</si>
  <si>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</si>
  <si>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</si>
  <si>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</si>
  <si>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</si>
  <si>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</si>
  <si>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</si>
  <si>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</si>
  <si>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</si>
  <si>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</si>
  <si>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</si>
  <si>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</si>
  <si>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</si>
  <si>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</si>
  <si>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</si>
  <si>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</si>
  <si>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</si>
  <si>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</si>
  <si>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</si>
  <si>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</si>
  <si>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</si>
  <si>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</si>
  <si>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</si>
  <si>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</si>
  <si>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</si>
  <si>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</si>
  <si>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</si>
  <si>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</si>
  <si>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</si>
  <si>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</si>
  <si>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</si>
  <si>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</si>
  <si>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</si>
  <si>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</si>
  <si>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</si>
  <si>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</si>
  <si>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</si>
  <si>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</si>
  <si>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</si>
  <si>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</si>
  <si>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</si>
  <si>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</si>
  <si>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</si>
  <si>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</si>
  <si>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</si>
  <si>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</si>
  <si>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</si>
  <si>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</si>
  <si>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</si>
  <si>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</si>
  <si>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</si>
  <si>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</si>
  <si>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</si>
  <si>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</si>
  <si>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</si>
  <si>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</si>
  <si>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</si>
  <si>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</si>
  <si>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</si>
  <si>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</si>
  <si>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</si>
  <si>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</si>
  <si>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</si>
  <si>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</si>
  <si>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</si>
  <si>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</si>
  <si>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</si>
  <si>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</si>
  <si>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</si>
  <si>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</si>
  <si>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</si>
  <si>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</si>
  <si>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</si>
  <si>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</si>
  <si>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</si>
  <si>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</si>
  <si>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</si>
  <si>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</si>
  <si>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</si>
  <si>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</si>
  <si>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</si>
  <si>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</si>
  <si>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</si>
  <si>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</si>
  <si>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</si>
  <si>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</si>
  <si>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</si>
  <si>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</si>
  <si>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</si>
  <si>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</si>
  <si>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</si>
  <si>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</si>
  <si>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</si>
  <si>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</si>
  <si>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</si>
  <si>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</si>
  <si>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</si>
  <si>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</si>
  <si>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</si>
  <si>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</si>
  <si>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</si>
  <si>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</si>
  <si>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</si>
  <si>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</si>
  <si>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</si>
  <si>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</si>
  <si>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</si>
  <si>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</si>
  <si>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</si>
  <si>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</si>
  <si>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</si>
  <si>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</si>
  <si>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</si>
  <si>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</si>
  <si>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</si>
  <si>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</si>
  <si>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</si>
  <si>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</si>
  <si>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</si>
  <si>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</si>
  <si>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</si>
  <si>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</si>
  <si>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</si>
  <si>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</si>
  <si>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</si>
  <si>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</si>
  <si>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</si>
  <si>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</si>
  <si>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</si>
  <si>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</si>
  <si>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</si>
  <si>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</si>
  <si>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</si>
  <si>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</si>
  <si>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</si>
  <si>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</si>
  <si>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</si>
  <si>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</si>
  <si>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</si>
  <si>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</si>
  <si>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</si>
  <si>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</si>
  <si>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</si>
  <si>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</si>
  <si>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</si>
  <si>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</si>
  <si>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</si>
  <si>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</si>
  <si>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</si>
  <si>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</si>
  <si>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</si>
  <si>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</si>
  <si>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</si>
  <si>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</si>
  <si>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</si>
  <si>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</si>
  <si>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</si>
  <si>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</si>
  <si>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</si>
  <si>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</si>
  <si>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</si>
  <si>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</si>
  <si>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</si>
  <si>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</si>
  <si>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</si>
  <si>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</si>
  <si>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</si>
  <si>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</si>
  <si>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</si>
  <si>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</si>
  <si>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</si>
  <si>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</si>
  <si>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</si>
  <si>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</si>
  <si>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</si>
  <si>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</si>
  <si>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</si>
  <si>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</si>
  <si>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</si>
  <si>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</si>
  <si>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</si>
  <si>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</si>
  <si>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</si>
  <si>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</si>
  <si>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</si>
  <si>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</si>
  <si>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</si>
  <si>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</si>
  <si>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</si>
  <si>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</si>
  <si>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</si>
  <si>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</si>
  <si>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</si>
  <si>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</si>
  <si>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</si>
  <si>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</si>
  <si>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</si>
  <si>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</si>
  <si>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</si>
  <si>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</si>
  <si>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</si>
  <si>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</si>
  <si>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</si>
  <si>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</si>
  <si>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</si>
  <si>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</si>
  <si>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</si>
  <si>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</si>
  <si>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</si>
  <si>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</si>
  <si>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</si>
  <si>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</si>
  <si>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</si>
  <si>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</si>
  <si>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</si>
  <si>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</si>
  <si>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</si>
  <si>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</si>
  <si>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</si>
  <si>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</si>
  <si>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</si>
  <si>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</si>
  <si>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</si>
  <si>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</si>
  <si>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</si>
  <si>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</si>
  <si>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</si>
  <si>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</si>
  <si>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</si>
  <si>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</si>
  <si>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</si>
  <si>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</si>
  <si>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</si>
  <si>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</si>
  <si>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</si>
  <si>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</si>
  <si>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</si>
  <si>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</si>
  <si>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</si>
  <si>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</si>
  <si>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</si>
  <si>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</si>
  <si>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</si>
  <si>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</si>
  <si>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</si>
  <si>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</si>
  <si>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</si>
  <si>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</si>
  <si>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</si>
  <si>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</si>
  <si>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</si>
  <si>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</si>
  <si>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</si>
  <si>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</si>
  <si>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</si>
  <si>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</si>
  <si>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</si>
  <si>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</si>
  <si>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</si>
  <si>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</si>
  <si>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</si>
  <si>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</si>
  <si>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</si>
  <si>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</si>
  <si>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</si>
  <si>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</si>
  <si>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</si>
  <si>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</si>
  <si>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</si>
  <si>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</si>
  <si>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</si>
  <si>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</si>
  <si>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</si>
  <si>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</si>
  <si>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</si>
  <si>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</si>
  <si>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</si>
  <si>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</si>
  <si>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</si>
  <si>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</si>
  <si>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</si>
  <si>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</si>
  <si>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</si>
  <si>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</si>
  <si>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</si>
  <si>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</si>
  <si>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</si>
  <si>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</si>
  <si>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</si>
  <si>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</si>
  <si>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</si>
  <si>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</si>
  <si>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</si>
  <si>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</si>
  <si>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</si>
  <si>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</si>
  <si>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</si>
  <si>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</si>
  <si>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</si>
  <si>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</si>
  <si>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</si>
  <si>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</si>
  <si>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</si>
  <si>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</si>
  <si>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</si>
  <si>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</si>
  <si>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</si>
  <si>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</si>
  <si>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</si>
  <si>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</si>
  <si>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</si>
  <si>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</si>
  <si>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</si>
  <si>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</si>
  <si>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</si>
  <si>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</si>
  <si>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</si>
  <si>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</si>
  <si>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</si>
  <si>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</si>
  <si>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</si>
  <si>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</si>
  <si>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</si>
  <si>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</si>
  <si>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</si>
  <si>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</si>
  <si>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</si>
  <si>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</si>
  <si>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</si>
  <si>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</si>
  <si>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</si>
  <si>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</si>
  <si>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</si>
  <si>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</si>
  <si>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</si>
  <si>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</si>
  <si>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</si>
  <si>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</si>
  <si>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</si>
  <si>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</si>
  <si>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</si>
  <si>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</si>
  <si>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</si>
  <si>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</si>
  <si>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</si>
  <si>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</si>
  <si>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</si>
  <si>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</si>
  <si>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</si>
  <si>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</si>
  <si>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</si>
  <si>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</si>
  <si>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</si>
  <si>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</si>
  <si>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</si>
  <si>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</si>
  <si>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</si>
  <si>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</si>
  <si>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</si>
  <si>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</si>
  <si>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</si>
  <si>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</si>
  <si>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</si>
  <si>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</si>
  <si>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</si>
  <si>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</si>
  <si>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</si>
  <si>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</si>
  <si>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</si>
  <si>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</si>
  <si>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</si>
  <si>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</si>
  <si>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</si>
  <si>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</si>
  <si>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</si>
  <si>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</si>
  <si>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</si>
  <si>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</si>
  <si>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</si>
  <si>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</si>
  <si>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</si>
  <si>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</si>
  <si>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</si>
  <si>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</si>
  <si>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</si>
  <si>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</si>
  <si>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</si>
  <si>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</si>
  <si>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</si>
  <si>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</si>
  <si>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</si>
  <si>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</si>
  <si>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</si>
  <si>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</si>
  <si>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</si>
  <si>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</si>
  <si>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</si>
  <si>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</si>
  <si>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</si>
  <si>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</si>
  <si>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</si>
  <si>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</si>
  <si>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</si>
  <si>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</si>
  <si>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</si>
  <si>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</si>
  <si>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</si>
  <si>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</si>
  <si>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</si>
  <si>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</si>
  <si>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</si>
  <si>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</si>
  <si>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</si>
  <si>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</si>
  <si>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</si>
  <si>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</si>
  <si>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</si>
  <si>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</si>
  <si>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</si>
  <si>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</si>
  <si>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</si>
  <si>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</si>
  <si>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</si>
  <si>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</si>
  <si>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</si>
  <si>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</si>
  <si>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</si>
  <si>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</si>
  <si>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</si>
  <si>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</si>
  <si>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</si>
  <si>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</si>
  <si>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</si>
  <si>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</si>
  <si>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</si>
  <si>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</si>
  <si>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</si>
  <si>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</si>
  <si>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</si>
  <si>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</si>
  <si>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</si>
  <si>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</si>
  <si>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</si>
  <si>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</si>
  <si>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</si>
  <si>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</si>
  <si>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</si>
  <si>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</si>
  <si>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</si>
  <si>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</si>
  <si>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</si>
  <si>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</si>
  <si>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</si>
  <si>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</si>
  <si>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</si>
  <si>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</si>
  <si>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</si>
  <si>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</si>
  <si>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</si>
  <si>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</si>
  <si>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</si>
  <si>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</si>
  <si>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</si>
  <si>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</si>
  <si>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</si>
  <si>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</si>
  <si>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</si>
  <si>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</si>
  <si>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</si>
  <si>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</si>
  <si>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</si>
  <si>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</si>
  <si>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</si>
  <si>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</si>
  <si>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</si>
  <si>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</si>
  <si>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</si>
  <si>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</si>
  <si>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</si>
  <si>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</si>
  <si>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</si>
  <si>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</si>
  <si>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</si>
  <si>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</si>
  <si>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</si>
  <si>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</si>
  <si>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</si>
  <si>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</si>
  <si>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</si>
  <si>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</si>
  <si>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</si>
  <si>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</si>
  <si>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</si>
  <si>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</si>
  <si>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</si>
  <si>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</si>
  <si>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</si>
  <si>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</si>
  <si>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</si>
  <si>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</si>
  <si>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</si>
  <si>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</si>
  <si>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</si>
  <si>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</si>
  <si>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</si>
  <si>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</si>
  <si>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</si>
  <si>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</si>
  <si>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</si>
  <si>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</si>
  <si>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</si>
  <si>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</si>
  <si>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</si>
  <si>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</si>
  <si>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</si>
  <si>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</si>
  <si>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</si>
  <si>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</si>
  <si>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</si>
  <si>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</si>
  <si>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</si>
  <si>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</si>
  <si>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</si>
  <si>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</si>
  <si>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</si>
  <si>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</si>
  <si>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</si>
  <si>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</si>
  <si>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</si>
  <si>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</si>
  <si>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</si>
  <si>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</si>
  <si>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</si>
  <si>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</si>
  <si>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</si>
  <si>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</si>
  <si>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</si>
  <si>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</si>
  <si>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</si>
  <si>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</si>
  <si>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</si>
  <si>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</si>
  <si>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</si>
  <si>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</si>
  <si>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</si>
  <si>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</si>
  <si>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</si>
  <si>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</si>
  <si>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</si>
  <si>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</si>
  <si>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</si>
  <si>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</si>
  <si>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</si>
  <si>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</si>
  <si>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</si>
  <si>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</si>
  <si>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</si>
  <si>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</si>
  <si>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</si>
  <si>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</si>
  <si>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</si>
  <si>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</si>
  <si>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</si>
  <si>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</si>
  <si>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</si>
  <si>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</si>
  <si>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</si>
  <si>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</si>
  <si>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</si>
  <si>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</si>
  <si>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</si>
  <si>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</si>
  <si>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</si>
  <si>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</si>
  <si>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</si>
  <si>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</si>
  <si>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</si>
  <si>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</si>
  <si>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</si>
  <si>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</si>
  <si>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</si>
  <si>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</si>
  <si>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</si>
  <si>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</si>
  <si>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</si>
  <si>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</si>
  <si>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</si>
  <si>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</si>
  <si>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</si>
  <si>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</si>
  <si>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</si>
  <si>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</si>
  <si>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</si>
  <si>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</si>
  <si>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</si>
  <si>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</si>
  <si>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</si>
  <si>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</si>
  <si>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</si>
  <si>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</si>
  <si>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</si>
  <si>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</si>
  <si>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</si>
  <si>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</si>
  <si>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</si>
  <si>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</si>
  <si>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</si>
  <si>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</si>
  <si>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</si>
  <si>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</si>
  <si>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</si>
  <si>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</si>
  <si>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</si>
  <si>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</si>
  <si>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</si>
  <si>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</si>
  <si>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</si>
  <si>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</si>
  <si>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</si>
  <si>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</si>
  <si>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</si>
  <si>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</si>
  <si>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</si>
  <si>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</si>
  <si>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</si>
  <si>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</si>
  <si>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</si>
  <si>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</si>
  <si>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</si>
  <si>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</si>
  <si>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</si>
  <si>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</si>
  <si>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</si>
  <si>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</si>
  <si>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</si>
  <si>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</si>
  <si>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</si>
  <si>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</si>
  <si>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</si>
  <si>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</si>
  <si>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</si>
  <si>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</si>
  <si>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</si>
  <si>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</si>
  <si>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</si>
  <si>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</si>
  <si>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</si>
  <si>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</si>
  <si>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</si>
  <si>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</si>
  <si>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</si>
  <si>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</si>
  <si>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</si>
  <si>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</si>
  <si>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</si>
  <si>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</si>
  <si>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</si>
  <si>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</si>
  <si>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</si>
  <si>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</si>
  <si>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</si>
  <si>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</si>
  <si>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</si>
  <si>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</si>
  <si>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</si>
  <si>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</si>
  <si>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</si>
  <si>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</si>
  <si>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</si>
  <si>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</si>
  <si>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</si>
  <si>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</si>
  <si>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</si>
  <si>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</si>
  <si>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</si>
  <si>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</si>
  <si>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</si>
  <si>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</si>
  <si>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</si>
  <si>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</si>
  <si>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</si>
  <si>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</si>
  <si>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</si>
  <si>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</si>
  <si>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</si>
  <si>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</si>
  <si>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</si>
  <si>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</si>
  <si>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</si>
  <si>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</si>
  <si>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</si>
  <si>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</si>
  <si>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</si>
  <si>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</si>
  <si>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</si>
  <si>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</si>
  <si>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</si>
  <si>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</si>
  <si>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</si>
  <si>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</si>
  <si>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</si>
  <si>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</si>
  <si>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</si>
  <si>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</si>
  <si>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</si>
  <si>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</si>
  <si>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</si>
  <si>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</si>
  <si>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</si>
  <si>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</si>
  <si>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</si>
  <si>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</si>
  <si>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</si>
  <si>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</si>
  <si>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</si>
  <si>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</si>
  <si>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</si>
  <si>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</si>
  <si>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</si>
  <si>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</si>
  <si>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</si>
  <si>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</si>
  <si>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</si>
  <si>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</si>
  <si>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</si>
  <si>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</si>
  <si>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</si>
  <si>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</si>
  <si>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</si>
  <si>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</si>
  <si>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</si>
  <si>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</si>
  <si>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</si>
  <si>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</si>
  <si>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</si>
  <si>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</si>
  <si>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</si>
  <si>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</si>
  <si>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</si>
  <si>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</si>
  <si>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</si>
  <si>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</si>
  <si>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</si>
  <si>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</si>
  <si>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</si>
  <si>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</si>
  <si>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</si>
  <si>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</si>
  <si>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</si>
  <si>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</si>
  <si>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</si>
  <si>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</si>
  <si>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</si>
  <si>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</si>
  <si>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</si>
  <si>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</si>
  <si>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</si>
  <si>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</si>
  <si>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</si>
  <si>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</si>
  <si>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</si>
  <si>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</si>
  <si>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</si>
  <si>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</si>
  <si>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</si>
  <si>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</si>
  <si>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</si>
  <si>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</si>
  <si>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</si>
  <si>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</si>
  <si>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</si>
  <si>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</si>
  <si>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</si>
  <si>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</si>
  <si>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</si>
  <si>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</si>
  <si>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</si>
  <si>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</si>
  <si>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</si>
  <si>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</si>
  <si>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</si>
  <si>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</si>
  <si>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</si>
  <si>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</si>
  <si>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</si>
  <si>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</si>
  <si>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</si>
  <si>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</si>
  <si>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</si>
  <si>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</si>
  <si>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</si>
  <si>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</si>
  <si>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</si>
  <si>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</si>
  <si>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</si>
  <si>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</si>
  <si>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</si>
  <si>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</si>
  <si>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</si>
  <si>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</si>
  <si>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</si>
  <si>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</si>
  <si>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</si>
  <si>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</si>
  <si>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</si>
  <si>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</si>
  <si>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</si>
  <si>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</si>
  <si>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</si>
  <si>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</si>
  <si>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</si>
  <si>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</si>
  <si>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</si>
  <si>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</si>
  <si>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</si>
  <si>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</si>
  <si>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</si>
  <si>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</si>
  <si>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</si>
  <si>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</si>
  <si>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</si>
  <si>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</si>
  <si>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</si>
  <si>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</si>
  <si>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</si>
  <si>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</si>
  <si>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</si>
  <si>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</si>
  <si>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</si>
  <si>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</si>
  <si>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</si>
  <si>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</si>
  <si>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</si>
  <si>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</si>
  <si>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</si>
  <si>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</si>
  <si>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</si>
  <si>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</si>
  <si>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</si>
  <si>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</si>
  <si>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</si>
  <si>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</si>
  <si>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</si>
  <si>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</si>
  <si>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</si>
  <si>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</si>
  <si>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</si>
  <si>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</si>
  <si>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</si>
  <si>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</si>
  <si>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</si>
  <si>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</si>
  <si>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</si>
  <si>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</si>
  <si>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</si>
  <si>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</si>
  <si>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</si>
  <si>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</si>
  <si>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</si>
  <si>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</si>
  <si>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</si>
  <si>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</si>
  <si>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</si>
  <si>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</si>
  <si>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</si>
  <si>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</si>
  <si>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</si>
  <si>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</si>
  <si>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</si>
  <si>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</si>
  <si>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</si>
  <si>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</si>
  <si>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</si>
  <si>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</si>
  <si>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</si>
  <si>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</si>
  <si>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</si>
  <si>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</si>
  <si>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</si>
  <si>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</si>
  <si>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</si>
  <si>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</si>
  <si>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</si>
  <si>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</si>
  <si>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</si>
  <si>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</si>
  <si>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</si>
  <si>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</si>
  <si>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</si>
  <si>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</si>
  <si>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</si>
  <si>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</si>
  <si>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</si>
  <si>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</si>
  <si>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</si>
  <si>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</si>
  <si>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</si>
  <si>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</si>
  <si>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</si>
  <si>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</si>
  <si>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</si>
  <si>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</si>
  <si>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</si>
  <si>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</si>
  <si>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</si>
  <si>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</si>
  <si>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</si>
  <si>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</si>
  <si>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</si>
  <si>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</si>
  <si>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</si>
  <si>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</si>
  <si>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</si>
  <si>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</si>
  <si>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</si>
  <si>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</si>
  <si>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</si>
  <si>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</si>
  <si>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</si>
  <si>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</si>
  <si>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</si>
  <si>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</si>
  <si>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</si>
  <si>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</si>
  <si>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</si>
  <si>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</si>
  <si>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</si>
  <si>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</si>
  <si>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</si>
  <si>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</si>
  <si>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</si>
  <si>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</si>
  <si>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</si>
  <si>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</si>
  <si>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</si>
  <si>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</si>
  <si>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</si>
  <si>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</si>
  <si>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</si>
  <si>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</si>
  <si>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</si>
  <si>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</si>
  <si>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</si>
  <si>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</si>
  <si>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</si>
  <si>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</si>
  <si>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</si>
  <si>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</si>
  <si>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</si>
  <si>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</si>
  <si>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</si>
  <si>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</si>
  <si>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</si>
  <si>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</si>
  <si>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</si>
  <si>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</si>
  <si>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</si>
  <si>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</si>
  <si>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</si>
  <si>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</si>
  <si>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</si>
  <si>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</si>
  <si>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</si>
  <si>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</si>
  <si>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</si>
  <si>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</si>
  <si>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</si>
  <si>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</si>
  <si>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</si>
  <si>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</si>
  <si>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</si>
  <si>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</si>
  <si>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</si>
  <si>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</si>
  <si>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</si>
  <si>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</si>
  <si>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</si>
  <si>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</si>
  <si>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</si>
  <si>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</si>
  <si>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</si>
  <si>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</si>
  <si>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</si>
  <si>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</si>
  <si>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</si>
  <si>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</si>
  <si>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</si>
  <si>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</si>
  <si>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</si>
  <si>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</si>
  <si>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</si>
  <si>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</si>
  <si>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</si>
  <si>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</si>
  <si>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</si>
  <si>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</si>
  <si>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</si>
  <si>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</si>
  <si>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</si>
  <si>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</si>
  <si>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</si>
  <si>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</si>
  <si>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</si>
  <si>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</si>
  <si>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</si>
  <si>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</si>
  <si>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</si>
  <si>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</si>
  <si>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</si>
  <si>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</si>
  <si>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</si>
  <si>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</si>
  <si>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</si>
  <si>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</si>
  <si>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</si>
  <si>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</si>
  <si>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</si>
  <si>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</si>
  <si>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</si>
  <si>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</si>
  <si>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</si>
  <si>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</si>
  <si>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</si>
  <si>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</si>
  <si>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</si>
  <si>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</si>
  <si>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</si>
  <si>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</si>
  <si>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</si>
  <si>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</si>
  <si>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</si>
  <si>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</si>
  <si>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</si>
  <si>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</si>
  <si>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</si>
  <si>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</si>
  <si>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</si>
  <si>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</si>
  <si>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</si>
  <si>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</si>
  <si>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</si>
  <si>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</si>
  <si>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</si>
  <si>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</si>
  <si>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</si>
  <si>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</si>
  <si>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</si>
  <si>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</si>
  <si>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</si>
  <si>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</si>
  <si>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</si>
  <si>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</si>
  <si>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</si>
  <si>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</si>
  <si>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</si>
  <si>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</si>
  <si>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</si>
  <si>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</si>
  <si>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</si>
  <si>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</si>
  <si>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</si>
  <si>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</si>
  <si>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</si>
  <si>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</si>
  <si>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</si>
  <si>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</si>
  <si>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</si>
  <si>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</si>
  <si>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</si>
  <si>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</si>
  <si>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LHRP HL-2-Woodland1</t>
  </si>
  <si>
    <t>MS, KB, JW</t>
  </si>
  <si>
    <t>Dakota</t>
  </si>
  <si>
    <t>44.788656, -93.139515</t>
  </si>
  <si>
    <t>Ribes species 2</t>
  </si>
  <si>
    <t>Ribes species 1</t>
  </si>
  <si>
    <t>LHHL22021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</si>
</sst>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3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8" fillId="0" borderId="25" xfId="1" applyBorder="1" applyAlignment="1">
      <alignment horizontal="center"/>
    </xf>
    <xf numFmtId="0" fontId="4" fillId="0" borderId="25" xfId="0" applyFont="1" applyBorder="1"/>
    <xf numFmtId="0" fontId="8" fillId="0" borderId="26" xfId="1" applyBorder="1" applyAlignment="1">
      <alignment horizontal="left"/>
    </xf>
    <xf numFmtId="0" fontId="8" fillId="0" borderId="25" xfId="1" applyBorder="1" applyAlignment="1">
      <alignment horizontal="left"/>
    </xf>
    <xf numFmtId="0" fontId="4" fillId="0" borderId="33" xfId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6" t="s">
        <v>57</v>
      </c>
      <c r="B2" s="126"/>
      <c r="C2" s="126"/>
      <c r="D2" s="126"/>
      <c r="E2" s="126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8" t="s">
        <v>5401</v>
      </c>
      <c r="B22" s="128"/>
      <c r="C22" s="128"/>
      <c r="D22" s="128"/>
      <c r="E22" s="128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7" t="s">
        <v>5402</v>
      </c>
      <c r="B24" s="127"/>
      <c r="C24" s="127"/>
      <c r="D24" s="127"/>
      <c r="E24" s="127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7" t="s">
        <v>61</v>
      </c>
      <c r="B39" s="127"/>
      <c r="C39" s="127"/>
      <c r="D39" s="127"/>
      <c r="E39" s="127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7" t="s">
        <v>62</v>
      </c>
      <c r="B45" s="127"/>
      <c r="C45" s="127"/>
      <c r="D45" s="127"/>
      <c r="E45" s="127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7" t="s">
        <v>43</v>
      </c>
      <c r="B93" s="118"/>
      <c r="C93" s="119"/>
      <c r="D93" s="120" t="s">
        <v>44</v>
      </c>
      <c r="E93" s="121"/>
    </row>
    <row r="94" spans="1:5" x14ac:dyDescent="0.2">
      <c r="A94" s="73" t="s">
        <v>23</v>
      </c>
      <c r="B94" s="122" t="s">
        <v>30</v>
      </c>
      <c r="C94" s="123"/>
      <c r="D94" s="3" t="s">
        <v>46</v>
      </c>
      <c r="E94" s="9">
        <v>8</v>
      </c>
    </row>
    <row r="95" spans="1:5" x14ac:dyDescent="0.2">
      <c r="A95" s="73" t="s">
        <v>24</v>
      </c>
      <c r="B95" s="124" t="s">
        <v>31</v>
      </c>
      <c r="C95" s="125"/>
      <c r="D95" s="3" t="s">
        <v>47</v>
      </c>
      <c r="E95" s="9">
        <v>7</v>
      </c>
    </row>
    <row r="96" spans="1:5" x14ac:dyDescent="0.2">
      <c r="A96" s="73" t="s">
        <v>3</v>
      </c>
      <c r="B96" s="124" t="s">
        <v>32</v>
      </c>
      <c r="C96" s="125"/>
      <c r="D96" s="3" t="s">
        <v>48</v>
      </c>
      <c r="E96" s="9">
        <v>6</v>
      </c>
    </row>
    <row r="97" spans="1:5" x14ac:dyDescent="0.2">
      <c r="A97" s="73" t="s">
        <v>25</v>
      </c>
      <c r="B97" s="124" t="s">
        <v>33</v>
      </c>
      <c r="C97" s="125"/>
      <c r="D97" s="3" t="s">
        <v>49</v>
      </c>
      <c r="E97" s="9">
        <v>5</v>
      </c>
    </row>
    <row r="98" spans="1:5" x14ac:dyDescent="0.2">
      <c r="A98" s="73" t="s">
        <v>26</v>
      </c>
      <c r="B98" s="124" t="s">
        <v>34</v>
      </c>
      <c r="C98" s="125"/>
      <c r="D98" s="3" t="s">
        <v>50</v>
      </c>
      <c r="E98" s="9">
        <v>4</v>
      </c>
    </row>
    <row r="99" spans="1:5" x14ac:dyDescent="0.2">
      <c r="A99" s="73" t="s">
        <v>27</v>
      </c>
      <c r="B99" s="124" t="s">
        <v>35</v>
      </c>
      <c r="C99" s="125"/>
      <c r="D99" s="3" t="s">
        <v>4</v>
      </c>
      <c r="E99" s="9">
        <v>3</v>
      </c>
    </row>
    <row r="100" spans="1:5" x14ac:dyDescent="0.2">
      <c r="A100" s="73" t="s">
        <v>2</v>
      </c>
      <c r="B100" s="124" t="s">
        <v>36</v>
      </c>
      <c r="C100" s="125"/>
      <c r="D100" s="3" t="s">
        <v>5</v>
      </c>
      <c r="E100" s="9">
        <v>2</v>
      </c>
    </row>
    <row r="101" spans="1:5" x14ac:dyDescent="0.2">
      <c r="A101" s="73" t="s">
        <v>28</v>
      </c>
      <c r="B101" s="124" t="s">
        <v>37</v>
      </c>
      <c r="C101" s="125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1" t="s">
        <v>38</v>
      </c>
      <c r="C102" s="132"/>
      <c r="D102" s="5"/>
      <c r="E102" s="8"/>
    </row>
    <row r="103" spans="1:5" ht="13.2" thickBot="1" x14ac:dyDescent="0.25">
      <c r="A103" s="117" t="s">
        <v>68</v>
      </c>
      <c r="B103" s="118"/>
      <c r="C103" s="119"/>
      <c r="D103" s="120" t="s">
        <v>45</v>
      </c>
      <c r="E103" s="121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7" t="s">
        <v>21</v>
      </c>
      <c r="B112" s="118"/>
      <c r="C112" s="121"/>
    </row>
    <row r="113" spans="1:3" x14ac:dyDescent="0.2">
      <c r="A113" s="73">
        <v>1</v>
      </c>
      <c r="B113" s="122" t="s">
        <v>40</v>
      </c>
      <c r="C113" s="123"/>
    </row>
    <row r="114" spans="1:3" x14ac:dyDescent="0.2">
      <c r="A114" s="73" t="s">
        <v>39</v>
      </c>
      <c r="B114" s="124" t="s">
        <v>41</v>
      </c>
      <c r="C114" s="125"/>
    </row>
    <row r="115" spans="1:3" x14ac:dyDescent="0.2">
      <c r="A115" s="74" t="s">
        <v>15</v>
      </c>
      <c r="B115" s="129" t="s">
        <v>42</v>
      </c>
      <c r="C115" s="130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6" t="s">
        <v>127</v>
      </c>
      <c r="B1" s="126"/>
      <c r="C1" s="126"/>
      <c r="D1" s="126"/>
      <c r="E1" s="126"/>
      <c r="F1" s="126"/>
      <c r="G1" s="126"/>
      <c r="H1" s="14"/>
    </row>
    <row r="2" spans="1:14" x14ac:dyDescent="0.2">
      <c r="A2" s="135" t="s">
        <v>138</v>
      </c>
      <c r="B2" s="135"/>
      <c r="C2" s="15"/>
      <c r="D2" s="15"/>
      <c r="E2" s="15"/>
      <c r="F2" s="15"/>
      <c r="G2" s="15"/>
      <c r="H2" s="15"/>
    </row>
    <row r="3" spans="1:14" x14ac:dyDescent="0.2">
      <c r="A3" s="136" t="s">
        <v>52</v>
      </c>
      <c r="B3" s="136"/>
      <c r="C3" s="15"/>
      <c r="D3" s="15"/>
      <c r="E3" s="15"/>
      <c r="F3" s="15"/>
      <c r="G3" s="15"/>
      <c r="H3" s="15"/>
    </row>
    <row r="4" spans="1:14" x14ac:dyDescent="0.2">
      <c r="A4" s="136" t="s">
        <v>55</v>
      </c>
      <c r="B4" s="136"/>
      <c r="C4" s="15"/>
      <c r="D4" s="15"/>
      <c r="E4" s="15"/>
      <c r="F4" s="15"/>
      <c r="G4" s="15"/>
      <c r="H4" s="15"/>
    </row>
    <row r="5" spans="1:14" x14ac:dyDescent="0.2">
      <c r="A5" s="136" t="s">
        <v>51</v>
      </c>
      <c r="B5" s="136"/>
      <c r="C5" s="15"/>
      <c r="D5" s="15"/>
      <c r="E5" s="15"/>
      <c r="F5" s="15"/>
      <c r="G5" s="15"/>
      <c r="H5" s="15"/>
    </row>
    <row r="6" spans="1:14" x14ac:dyDescent="0.2">
      <c r="A6" s="133" t="s">
        <v>128</v>
      </c>
      <c r="B6" s="133"/>
    </row>
    <row r="7" spans="1:14" x14ac:dyDescent="0.2">
      <c r="A7" s="133" t="s">
        <v>129</v>
      </c>
      <c r="B7" s="133"/>
      <c r="C7" s="134"/>
      <c r="D7" s="134"/>
      <c r="E7" s="134"/>
      <c r="F7" s="134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94" zoomScale="70" zoomScaleNormal="70" workbookViewId="0">
      <selection activeCell="A117" sqref="A117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40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 t="s">
        <v>5439</v>
      </c>
      <c r="C2" s="46" t="s">
        <v>5445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5440</v>
      </c>
      <c r="C3" s="46"/>
      <c r="D3" s="108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5441</v>
      </c>
      <c r="C4" s="46"/>
      <c r="D4" s="108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42909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108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3685</v>
      </c>
      <c r="B12" s="44" t="str">
        <f>IF(LEN(VLOOKUP(A12,'Species List'!$A:$G,2,FALSE))=0,"",VLOOKUP(A12,'Species List'!$A:$G,2,FALSE))</f>
        <v>white oak</v>
      </c>
      <c r="C12" s="44">
        <f>IF(LEN(VLOOKUP(A12,'Species List'!$A:$G,3,FALSE))=0,"",VLOOKUP(A12,'Species List'!$A:$G,3,FALSE))</f>
        <v>7</v>
      </c>
      <c r="D12" s="103">
        <f>VALUE(C12)</f>
        <v>7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43" si="0">L12/$L$140</f>
        <v>9.1743119266055051E-2</v>
      </c>
      <c r="O12" s="88">
        <f>D12*N12</f>
        <v>0.64220183486238536</v>
      </c>
    </row>
    <row r="13" spans="1:15" x14ac:dyDescent="0.2">
      <c r="A13" s="109" t="s">
        <v>3698</v>
      </c>
      <c r="B13" s="44" t="str">
        <f>IF(LEN(VLOOKUP(A13,'Species List'!$A:$G,2,FALSE))=0,"",VLOOKUP(A13,'Species List'!$A:$G,2,FALSE))</f>
        <v>northern red oak</v>
      </c>
      <c r="C13" s="44">
        <f>IF(LEN(VLOOKUP(A13,'Species List'!$A:$G,3,FALSE))=0,"",VLOOKUP(A13,'Species List'!$A:$G,3,FALSE))</f>
        <v>5</v>
      </c>
      <c r="D13" s="103">
        <f t="shared" ref="D13:D65" si="1">VALUE(C13)</f>
        <v>5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95">
        <v>4</v>
      </c>
      <c r="K13" s="47" t="str">
        <f>VLOOKUP(J13,'Species List'!$H$1:$J$9,2,FALSE)</f>
        <v>&gt;50-75%</v>
      </c>
      <c r="L13" s="47">
        <f>VLOOKUP(K13,'Species List'!$I$1:$N$8,2,FALSE)</f>
        <v>62.5</v>
      </c>
      <c r="M13" s="104">
        <f t="shared" ref="M13:M65" si="2">VALUE(L13)</f>
        <v>62.5</v>
      </c>
      <c r="N13" s="88">
        <f t="shared" si="0"/>
        <v>0.38226299694189603</v>
      </c>
      <c r="O13" s="102">
        <f t="shared" ref="O13:O65" si="3">D13*N13</f>
        <v>1.9113149847094801</v>
      </c>
    </row>
    <row r="14" spans="1:15" x14ac:dyDescent="0.2">
      <c r="A14" s="110" t="s">
        <v>1251</v>
      </c>
      <c r="B14" s="44" t="str">
        <f>IF(LEN(VLOOKUP(A14,'Species List'!$A:$G,2,FALSE))=0,"",VLOOKUP(A14,'Species List'!$A:$G,2,FALSE))</f>
        <v>hackberry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[FAC-]</v>
      </c>
      <c r="H14" s="44">
        <f>VLOOKUP(A14,'Species List'!$A:$G,7,FALSE)</f>
        <v>0</v>
      </c>
      <c r="J14" s="95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3.0581039755351682E-3</v>
      </c>
      <c r="O14" s="102">
        <f t="shared" si="3"/>
        <v>9.1743119266055051E-3</v>
      </c>
    </row>
    <row r="15" spans="1:15" x14ac:dyDescent="0.2">
      <c r="A15" s="109" t="s">
        <v>162</v>
      </c>
      <c r="B15" s="44" t="str">
        <f>IF(LEN(VLOOKUP(A15,'Species List'!$A:$G,2,FALSE))=0,"",VLOOKUP(A15,'Species List'!$A:$G,2,FALSE))</f>
        <v>box elder</v>
      </c>
      <c r="C15" s="44">
        <f>IF(LEN(VLOOKUP(A15,'Species List'!$A:$G,3,FALSE))=0,"",VLOOKUP(A15,'Species List'!$A:$G,3,FALSE))</f>
        <v>1</v>
      </c>
      <c r="D15" s="103">
        <f t="shared" si="1"/>
        <v>1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FACW-</v>
      </c>
      <c r="H15" s="44">
        <f>VLOOKUP(A15,'Species List'!$A:$G,7,FALSE)</f>
        <v>0</v>
      </c>
      <c r="J15" s="95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2"/>
        <v>15</v>
      </c>
      <c r="N15" s="88">
        <f t="shared" si="0"/>
        <v>9.1743119266055051E-2</v>
      </c>
      <c r="O15" s="102">
        <f t="shared" si="3"/>
        <v>9.1743119266055051E-2</v>
      </c>
    </row>
    <row r="16" spans="1:15" x14ac:dyDescent="0.2">
      <c r="A16" s="109" t="s">
        <v>2145</v>
      </c>
      <c r="B16" s="44" t="str">
        <f>IF(LEN(VLOOKUP(A16,'Species List'!$A:$G,2,FALSE))=0,"",VLOOKUP(A16,'Species List'!$A:$G,2,FALSE))</f>
        <v>green ash</v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1.834862385321101E-2</v>
      </c>
      <c r="O16" s="102">
        <f t="shared" si="3"/>
        <v>3.669724770642202E-2</v>
      </c>
    </row>
    <row r="17" spans="1:15" x14ac:dyDescent="0.2">
      <c r="A17" s="111" t="s">
        <v>3656</v>
      </c>
      <c r="B17" s="44" t="str">
        <f>IF(LEN(VLOOKUP(A17,'Species List'!$A:$G,2,FALSE))=0,"",VLOOKUP(A17,'Species List'!$A:$G,2,FALSE))</f>
        <v>black cherry</v>
      </c>
      <c r="C17" s="44">
        <f>IF(LEN(VLOOKUP(A17,'Species List'!$A:$G,3,FALSE))=0,"",VLOOKUP(A17,'Species List'!$A:$G,3,FALSE))</f>
        <v>4</v>
      </c>
      <c r="D17" s="103">
        <f t="shared" si="1"/>
        <v>4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[FACU]</v>
      </c>
      <c r="H17" s="44">
        <f>VLOOKUP(A17,'Species List'!$A:$G,7,FALSE)</f>
        <v>0</v>
      </c>
      <c r="J17" s="95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1.834862385321101E-2</v>
      </c>
      <c r="O17" s="102">
        <f t="shared" si="3"/>
        <v>7.3394495412844041E-2</v>
      </c>
    </row>
    <row r="18" spans="1:15" x14ac:dyDescent="0.2">
      <c r="A18" s="111" t="s">
        <v>3658</v>
      </c>
      <c r="B18" s="44" t="str">
        <f>IF(LEN(VLOOKUP(A18,'Species List'!$A:$G,2,FALSE))=0,"",VLOOKUP(A18,'Species List'!$A:$G,2,FALSE))</f>
        <v>chokecherry</v>
      </c>
      <c r="C18" s="44">
        <f>IF(LEN(VLOOKUP(A18,'Species List'!$A:$G,3,FALSE))=0,"",VLOOKUP(A18,'Species List'!$A:$G,3,FALSE))</f>
        <v>3</v>
      </c>
      <c r="D18" s="103">
        <f t="shared" si="1"/>
        <v>3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[FAC-]</v>
      </c>
      <c r="H18" s="44">
        <f>VLOOKUP(A18,'Species List'!$A:$G,7,FALSE)</f>
        <v>0</v>
      </c>
      <c r="J18" s="95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88">
        <f t="shared" si="0"/>
        <v>9.1743119266055051E-2</v>
      </c>
      <c r="O18" s="102">
        <f t="shared" si="3"/>
        <v>0.27522935779816515</v>
      </c>
    </row>
    <row r="19" spans="1:15" x14ac:dyDescent="0.2">
      <c r="A19" s="110" t="s">
        <v>3757</v>
      </c>
      <c r="B19" s="44" t="str">
        <f>IF(LEN(VLOOKUP(A19,'Species List'!$A:$G,2,FALSE))=0,"",VLOOKUP(A19,'Species List'!$A:$G,2,FALSE))</f>
        <v>common buckthorn</v>
      </c>
      <c r="C19" s="44">
        <f>IF(LEN(VLOOKUP(A19,'Species List'!$A:$G,3,FALSE))=0,"",VLOOKUP(A19,'Species List'!$A:$G,3,FALSE))</f>
        <v>0</v>
      </c>
      <c r="D19" s="103">
        <f t="shared" si="1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4">
        <f t="shared" si="2"/>
        <v>15</v>
      </c>
      <c r="N19" s="88">
        <f t="shared" si="0"/>
        <v>9.1743119266055051E-2</v>
      </c>
      <c r="O19" s="102">
        <f t="shared" si="3"/>
        <v>0</v>
      </c>
    </row>
    <row r="20" spans="1:15" x14ac:dyDescent="0.2">
      <c r="A20" s="109" t="s">
        <v>4817</v>
      </c>
      <c r="B20" s="44" t="str">
        <f>IF(LEN(VLOOKUP(A20,'Species List'!$A:$G,2,FALSE))=0,"",VLOOKUP(A20,'Species List'!$A:$G,2,FALSE))</f>
        <v>prickly ash</v>
      </c>
      <c r="C20" s="44">
        <f>IF(LEN(VLOOKUP(A20,'Species List'!$A:$G,3,FALSE))=0,"",VLOOKUP(A20,'Species List'!$A:$G,3,FALSE))</f>
        <v>3</v>
      </c>
      <c r="D20" s="103">
        <f t="shared" si="1"/>
        <v>3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95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3.0581039755351682E-3</v>
      </c>
      <c r="O20" s="102">
        <f t="shared" si="3"/>
        <v>9.1743119266055051E-3</v>
      </c>
    </row>
    <row r="21" spans="1:15" x14ac:dyDescent="0.2">
      <c r="A21" s="109" t="s">
        <v>4598</v>
      </c>
      <c r="B21" s="44" t="str">
        <f>IF(LEN(VLOOKUP(A21,'Species List'!$A:$G,2,FALSE))=0,"",VLOOKUP(A21,'Species List'!$A:$G,2,FALSE))</f>
        <v>American elm</v>
      </c>
      <c r="C21" s="44">
        <f>IF(LEN(VLOOKUP(A21,'Species List'!$A:$G,3,FALSE))=0,"",VLOOKUP(A21,'Species List'!$A:$G,3,FALSE))</f>
        <v>3</v>
      </c>
      <c r="D21" s="103">
        <f t="shared" si="1"/>
        <v>3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1.834862385321101E-2</v>
      </c>
      <c r="O21" s="102">
        <f t="shared" si="3"/>
        <v>5.5045871559633031E-2</v>
      </c>
    </row>
    <row r="22" spans="1:15" x14ac:dyDescent="0.2">
      <c r="A22" s="109" t="s">
        <v>1477</v>
      </c>
      <c r="B22" s="44" t="str">
        <f>IF(LEN(VLOOKUP(A22,'Species List'!$A:$G,2,FALSE))=0,"",VLOOKUP(A22,'Species List'!$A:$G,2,FALSE))</f>
        <v>American hazelnut</v>
      </c>
      <c r="C22" s="44">
        <f>IF(LEN(VLOOKUP(A22,'Species List'!$A:$G,3,FALSE))=0,"",VLOOKUP(A22,'Species List'!$A:$G,3,FALSE))</f>
        <v>3</v>
      </c>
      <c r="D22" s="103">
        <f t="shared" si="1"/>
        <v>3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FACU-</v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1.834862385321101E-2</v>
      </c>
      <c r="O22" s="102">
        <f t="shared" si="3"/>
        <v>5.5045871559633031E-2</v>
      </c>
    </row>
    <row r="23" spans="1:15" x14ac:dyDescent="0.2">
      <c r="A23" s="109" t="s">
        <v>5238</v>
      </c>
      <c r="B23" s="44" t="s">
        <v>5444</v>
      </c>
      <c r="C23" s="44">
        <v>3</v>
      </c>
      <c r="D23" s="103">
        <f t="shared" si="1"/>
        <v>3</v>
      </c>
      <c r="E23" s="44" t="str">
        <f>IF(LEN(VLOOKUP(A23,'Species List'!$A:$G,4,FALSE))=0,"",VLOOKUP(A23,'Species List'!$A:$G,4,FALSE))</f>
        <v/>
      </c>
      <c r="F23" s="44" t="s">
        <v>147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1.834862385321101E-2</v>
      </c>
      <c r="O23" s="102">
        <f t="shared" si="3"/>
        <v>5.5045871559633031E-2</v>
      </c>
    </row>
    <row r="24" spans="1:15" x14ac:dyDescent="0.2">
      <c r="A24" s="109" t="s">
        <v>5238</v>
      </c>
      <c r="B24" s="44" t="s">
        <v>5443</v>
      </c>
      <c r="C24" s="44">
        <v>3</v>
      </c>
      <c r="D24" s="103">
        <f t="shared" si="1"/>
        <v>3</v>
      </c>
      <c r="E24" s="44" t="str">
        <f>IF(LEN(VLOOKUP(A24,'Species List'!$A:$G,4,FALSE))=0,"",VLOOKUP(A24,'Species List'!$A:$G,4,FALSE))</f>
        <v/>
      </c>
      <c r="F24" s="44" t="s">
        <v>147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5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2"/>
        <v>0.5</v>
      </c>
      <c r="N24" s="88">
        <f t="shared" si="0"/>
        <v>3.0581039755351682E-3</v>
      </c>
      <c r="O24" s="102">
        <f t="shared" si="3"/>
        <v>9.1743119266055051E-3</v>
      </c>
    </row>
    <row r="25" spans="1:15" x14ac:dyDescent="0.2">
      <c r="A25" s="109" t="s">
        <v>3856</v>
      </c>
      <c r="B25" s="44" t="str">
        <f>IF(LEN(VLOOKUP(A25,'Species List'!$A:$G,2,FALSE))=0,"",VLOOKUP(A25,'Species List'!$A:$G,2,FALSE))</f>
        <v>Kinnickinnick dewberry</v>
      </c>
      <c r="C25" s="44">
        <v>3</v>
      </c>
      <c r="D25" s="103">
        <f t="shared" si="1"/>
        <v>3</v>
      </c>
      <c r="E25" s="44" t="str">
        <f>IF(LEN(VLOOKUP(A25,'Species List'!$A:$G,4,FALSE))=0,"",VLOOKUP(A25,'Species List'!$A:$G,4,FALSE))</f>
        <v>D</v>
      </c>
      <c r="F25" s="44" t="s">
        <v>147</v>
      </c>
      <c r="G25" s="44" t="str">
        <f>IF(LEN(VLOOKUP(A25,'Species List'!$A:$G,6,FALSE))=0,"",VLOOKUP(A25,'Species List'!$A:$G,6,FALSE))</f>
        <v/>
      </c>
      <c r="H25" s="44" t="str">
        <f>VLOOKUP(A25,'Species List'!$A:$G,7,FALSE)</f>
        <v>SC</v>
      </c>
      <c r="I25" s="88" t="s">
        <v>5389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1.834862385321101E-2</v>
      </c>
      <c r="O25" s="102">
        <f t="shared" si="3"/>
        <v>5.5045871559633031E-2</v>
      </c>
    </row>
    <row r="26" spans="1:15" x14ac:dyDescent="0.2">
      <c r="A26" s="110" t="s">
        <v>5254</v>
      </c>
      <c r="B26" s="44" t="str">
        <f>IF(LEN(VLOOKUP(A26,'Species List'!$A:$G,2,FALSE))=0,"",VLOOKUP(A26,'Species List'!$A:$G,2,FALSE))</f>
        <v/>
      </c>
      <c r="C26" s="44">
        <v>3</v>
      </c>
      <c r="D26" s="103">
        <f t="shared" si="1"/>
        <v>3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1.834862385321101E-2</v>
      </c>
      <c r="O26" s="102">
        <f t="shared" si="3"/>
        <v>5.5045871559633031E-2</v>
      </c>
    </row>
    <row r="27" spans="1:15" x14ac:dyDescent="0.2">
      <c r="A27" s="109" t="s">
        <v>4701</v>
      </c>
      <c r="B27" s="44" t="str">
        <f>IF(LEN(VLOOKUP(A27,'Species List'!$A:$G,2,FALSE))=0,"",VLOOKUP(A27,'Species List'!$A:$G,2,FALSE))</f>
        <v>nannyberry</v>
      </c>
      <c r="C27" s="44">
        <f>IF(LEN(VLOOKUP(A27,'Species List'!$A:$G,3,FALSE))=0,"",VLOOKUP(A27,'Species List'!$A:$G,3,FALSE))</f>
        <v>4</v>
      </c>
      <c r="D27" s="103">
        <f t="shared" si="1"/>
        <v>4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FAC+</v>
      </c>
      <c r="H27" s="44">
        <f>VLOOKUP(A27,'Species List'!$A:$G,7,FALSE)</f>
        <v>0</v>
      </c>
      <c r="J27" s="95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2"/>
        <v>0.5</v>
      </c>
      <c r="N27" s="88">
        <f t="shared" si="0"/>
        <v>3.0581039755351682E-3</v>
      </c>
      <c r="O27" s="102">
        <f t="shared" si="3"/>
        <v>1.2232415902140673E-2</v>
      </c>
    </row>
    <row r="28" spans="1:15" x14ac:dyDescent="0.2">
      <c r="A28" s="111" t="s">
        <v>3213</v>
      </c>
      <c r="B28" s="44" t="str">
        <f>IF(LEN(VLOOKUP(A28,'Species List'!$A:$G,2,FALSE))=0,"",VLOOKUP(A28,'Species List'!$A:$G,2,FALSE))</f>
        <v>Virginia creeper</v>
      </c>
      <c r="C28" s="44">
        <v>3</v>
      </c>
      <c r="D28" s="103">
        <f t="shared" si="1"/>
        <v>3</v>
      </c>
      <c r="E28" s="44" t="str">
        <f>IF(LEN(VLOOKUP(A28,'Species List'!$A:$G,4,FALSE))=0,"",VLOOKUP(A28,'Species List'!$A:$G,4,FALSE))</f>
        <v>C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FAC-</v>
      </c>
      <c r="H28" s="44">
        <f>VLOOKUP(A28,'Species List'!$A:$G,7,FALSE)</f>
        <v>0</v>
      </c>
      <c r="J28" s="95">
        <v>2</v>
      </c>
      <c r="K28" s="47" t="str">
        <f>VLOOKUP(J28,'Species List'!$H$1:$J$9,2,FALSE)</f>
        <v>&gt;5-25%</v>
      </c>
      <c r="L28" s="47">
        <f>VLOOKUP(K28,'Species List'!$I$1:$N$8,2,FALSE)</f>
        <v>15</v>
      </c>
      <c r="M28" s="104">
        <f t="shared" si="2"/>
        <v>15</v>
      </c>
      <c r="N28" s="88">
        <f t="shared" si="0"/>
        <v>9.1743119266055051E-2</v>
      </c>
      <c r="O28" s="102">
        <f t="shared" si="3"/>
        <v>0.27522935779816515</v>
      </c>
    </row>
    <row r="29" spans="1:15" x14ac:dyDescent="0.2">
      <c r="A29" s="116" t="s">
        <v>4768</v>
      </c>
      <c r="B29" s="44" t="str">
        <f>IF(LEN(VLOOKUP(A29,'Species List'!$A:$G,2,FALSE))=0,"",VLOOKUP(A29,'Species List'!$A:$G,2,FALSE))</f>
        <v>wild grape</v>
      </c>
      <c r="C29" s="44">
        <f>IF(LEN(VLOOKUP(A29,'Species List'!$A:$G,3,FALSE))=0,"",VLOOKUP(A29,'Species List'!$A:$G,3,FALSE))</f>
        <v>2</v>
      </c>
      <c r="D29" s="103">
        <f t="shared" si="1"/>
        <v>2</v>
      </c>
      <c r="E29" s="44" t="str">
        <f>IF(LEN(VLOOKUP(A29,'Species List'!$A:$G,4,FALSE))=0,"",VLOOKUP(A29,'Species List'!$A:$G,4,FALSE))</f>
        <v>C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FACW-</v>
      </c>
      <c r="H29" s="44">
        <f>VLOOKUP(A29,'Species List'!$A:$G,7,FALSE)</f>
        <v>0</v>
      </c>
      <c r="J29" s="95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1.834862385321101E-2</v>
      </c>
      <c r="O29" s="102">
        <f t="shared" si="3"/>
        <v>3.669724770642202E-2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ref="N44:N64" si="4">L44/$L$140</f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4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4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4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4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4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4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4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4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4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4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4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4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4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4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4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4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4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4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4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4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ref="N65:N128" si="5">L65/$L$140</f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ref="D66:D129" si="6">VALUE(C66)</f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ref="M66:M129" si="7">VALUE(L66)</f>
        <v>#N/A</v>
      </c>
      <c r="N66" s="88" t="e">
        <f t="shared" si="5"/>
        <v>#N/A</v>
      </c>
      <c r="O66" s="102" t="e">
        <f t="shared" ref="O66:O129" si="8">D66*N66</f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6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7"/>
        <v>#N/A</v>
      </c>
      <c r="N67" s="88" t="e">
        <f t="shared" si="5"/>
        <v>#N/A</v>
      </c>
      <c r="O67" s="102" t="e">
        <f t="shared" si="8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6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7"/>
        <v>#N/A</v>
      </c>
      <c r="N68" s="88" t="e">
        <f t="shared" si="5"/>
        <v>#N/A</v>
      </c>
      <c r="O68" s="102" t="e">
        <f t="shared" si="8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6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7"/>
        <v>#N/A</v>
      </c>
      <c r="N69" s="88" t="e">
        <f t="shared" si="5"/>
        <v>#N/A</v>
      </c>
      <c r="O69" s="102" t="e">
        <f t="shared" si="8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6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7"/>
        <v>#N/A</v>
      </c>
      <c r="N70" s="88" t="e">
        <f t="shared" si="5"/>
        <v>#N/A</v>
      </c>
      <c r="O70" s="102" t="e">
        <f t="shared" si="8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6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7"/>
        <v>#N/A</v>
      </c>
      <c r="N71" s="88" t="e">
        <f t="shared" si="5"/>
        <v>#N/A</v>
      </c>
      <c r="O71" s="102" t="e">
        <f t="shared" si="8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6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7"/>
        <v>#N/A</v>
      </c>
      <c r="N72" s="88" t="e">
        <f t="shared" si="5"/>
        <v>#N/A</v>
      </c>
      <c r="O72" s="102" t="e">
        <f t="shared" si="8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6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7"/>
        <v>#N/A</v>
      </c>
      <c r="N73" s="88" t="e">
        <f t="shared" si="5"/>
        <v>#N/A</v>
      </c>
      <c r="O73" s="102" t="e">
        <f t="shared" si="8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6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7"/>
        <v>#N/A</v>
      </c>
      <c r="N74" s="88" t="e">
        <f t="shared" si="5"/>
        <v>#N/A</v>
      </c>
      <c r="O74" s="102" t="e">
        <f t="shared" si="8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6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7"/>
        <v>#N/A</v>
      </c>
      <c r="N75" s="88" t="e">
        <f t="shared" si="5"/>
        <v>#N/A</v>
      </c>
      <c r="O75" s="102" t="e">
        <f t="shared" si="8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6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7"/>
        <v>#N/A</v>
      </c>
      <c r="N76" s="88" t="e">
        <f t="shared" si="5"/>
        <v>#N/A</v>
      </c>
      <c r="O76" s="102" t="e">
        <f t="shared" si="8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6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7"/>
        <v>#N/A</v>
      </c>
      <c r="N77" s="88" t="e">
        <f t="shared" si="5"/>
        <v>#N/A</v>
      </c>
      <c r="O77" s="102" t="e">
        <f t="shared" si="8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88" t="e">
        <f t="shared" si="5"/>
        <v>#N/A</v>
      </c>
      <c r="O78" s="102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88" t="e">
        <f t="shared" si="5"/>
        <v>#N/A</v>
      </c>
      <c r="O79" s="102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88" t="e">
        <f t="shared" si="5"/>
        <v>#N/A</v>
      </c>
      <c r="O80" s="102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88" t="e">
        <f t="shared" si="5"/>
        <v>#N/A</v>
      </c>
      <c r="O81" s="102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88" t="e">
        <f t="shared" si="5"/>
        <v>#N/A</v>
      </c>
      <c r="O82" s="102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88" t="e">
        <f t="shared" si="5"/>
        <v>#N/A</v>
      </c>
      <c r="O83" s="102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88" t="e">
        <f t="shared" si="5"/>
        <v>#N/A</v>
      </c>
      <c r="O84" s="102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88" t="e">
        <f t="shared" si="5"/>
        <v>#N/A</v>
      </c>
      <c r="O85" s="102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88" t="e">
        <f t="shared" si="5"/>
        <v>#N/A</v>
      </c>
      <c r="O86" s="102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88" t="e">
        <f t="shared" si="5"/>
        <v>#N/A</v>
      </c>
      <c r="O87" s="102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88" t="e">
        <f t="shared" si="5"/>
        <v>#N/A</v>
      </c>
      <c r="O88" s="102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88" t="e">
        <f t="shared" si="5"/>
        <v>#N/A</v>
      </c>
      <c r="O89" s="102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88" t="e">
        <f t="shared" si="5"/>
        <v>#N/A</v>
      </c>
      <c r="O90" s="102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88" t="e">
        <f t="shared" si="5"/>
        <v>#N/A</v>
      </c>
      <c r="O91" s="102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88" t="e">
        <f t="shared" si="5"/>
        <v>#N/A</v>
      </c>
      <c r="O92" s="102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88" t="e">
        <f t="shared" si="5"/>
        <v>#N/A</v>
      </c>
      <c r="O93" s="102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88" t="e">
        <f t="shared" si="5"/>
        <v>#N/A</v>
      </c>
      <c r="O94" s="102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88" t="e">
        <f t="shared" si="5"/>
        <v>#N/A</v>
      </c>
      <c r="O95" s="102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88" t="e">
        <f t="shared" si="5"/>
        <v>#N/A</v>
      </c>
      <c r="O96" s="102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88" t="e">
        <f t="shared" si="5"/>
        <v>#N/A</v>
      </c>
      <c r="O97" s="102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88" t="e">
        <f t="shared" si="5"/>
        <v>#N/A</v>
      </c>
      <c r="O98" s="102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88" t="e">
        <f t="shared" si="5"/>
        <v>#N/A</v>
      </c>
      <c r="O99" s="102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88" t="e">
        <f t="shared" si="5"/>
        <v>#N/A</v>
      </c>
      <c r="O100" s="102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88" t="e">
        <f t="shared" si="5"/>
        <v>#N/A</v>
      </c>
      <c r="O101" s="102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88" t="e">
        <f t="shared" si="5"/>
        <v>#N/A</v>
      </c>
      <c r="O102" s="102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88" t="e">
        <f t="shared" si="5"/>
        <v>#N/A</v>
      </c>
      <c r="O103" s="102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88" t="e">
        <f t="shared" si="5"/>
        <v>#N/A</v>
      </c>
      <c r="O104" s="102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88" t="e">
        <f t="shared" si="5"/>
        <v>#N/A</v>
      </c>
      <c r="O105" s="102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88" t="e">
        <f t="shared" si="5"/>
        <v>#N/A</v>
      </c>
      <c r="O106" s="102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88" t="e">
        <f t="shared" si="5"/>
        <v>#N/A</v>
      </c>
      <c r="O107" s="102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88" t="e">
        <f t="shared" si="5"/>
        <v>#N/A</v>
      </c>
      <c r="O108" s="102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88" t="e">
        <f t="shared" si="5"/>
        <v>#N/A</v>
      </c>
      <c r="O109" s="102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88" t="e">
        <f t="shared" si="5"/>
        <v>#N/A</v>
      </c>
      <c r="O110" s="102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88" t="e">
        <f t="shared" si="5"/>
        <v>#N/A</v>
      </c>
      <c r="O111" s="102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88" t="e">
        <f t="shared" si="5"/>
        <v>#N/A</v>
      </c>
      <c r="O112" s="102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88" t="e">
        <f t="shared" si="5"/>
        <v>#N/A</v>
      </c>
      <c r="O113" s="102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88" t="e">
        <f t="shared" si="5"/>
        <v>#N/A</v>
      </c>
      <c r="O114" s="102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88" t="e">
        <f t="shared" si="5"/>
        <v>#N/A</v>
      </c>
      <c r="O115" s="102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88" t="e">
        <f t="shared" si="5"/>
        <v>#N/A</v>
      </c>
      <c r="O116" s="102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88" t="e">
        <f t="shared" si="5"/>
        <v>#N/A</v>
      </c>
      <c r="O117" s="102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88" t="e">
        <f t="shared" si="5"/>
        <v>#N/A</v>
      </c>
      <c r="O118" s="102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88" t="e">
        <f t="shared" si="5"/>
        <v>#N/A</v>
      </c>
      <c r="O119" s="102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88" t="e">
        <f t="shared" si="5"/>
        <v>#N/A</v>
      </c>
      <c r="O120" s="102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88" t="e">
        <f t="shared" si="5"/>
        <v>#N/A</v>
      </c>
      <c r="O121" s="102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88" t="e">
        <f t="shared" si="5"/>
        <v>#N/A</v>
      </c>
      <c r="O122" s="102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88" t="e">
        <f t="shared" si="5"/>
        <v>#N/A</v>
      </c>
      <c r="O123" s="102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88" t="e">
        <f t="shared" si="5"/>
        <v>#N/A</v>
      </c>
      <c r="O124" s="102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88" t="e">
        <f t="shared" si="5"/>
        <v>#N/A</v>
      </c>
      <c r="O125" s="102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88" t="e">
        <f t="shared" si="5"/>
        <v>#N/A</v>
      </c>
      <c r="O126" s="102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88" t="e">
        <f t="shared" si="5"/>
        <v>#N/A</v>
      </c>
      <c r="O127" s="102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88" t="e">
        <f t="shared" si="5"/>
        <v>#N/A</v>
      </c>
      <c r="O128" s="102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88" t="e">
        <f t="shared" ref="N129:N139" si="9">L129/$L$140</f>
        <v>#N/A</v>
      </c>
      <c r="O129" s="102" t="e">
        <f t="shared" si="8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ref="D130:D139" si="10">VALUE(C130)</f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ref="M130:M139" si="11">VALUE(L130)</f>
        <v>#N/A</v>
      </c>
      <c r="N130" s="88" t="e">
        <f t="shared" si="9"/>
        <v>#N/A</v>
      </c>
      <c r="O130" s="102" t="e">
        <f t="shared" ref="O130:O139" si="12">D130*N130</f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10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1"/>
        <v>#N/A</v>
      </c>
      <c r="N131" s="88" t="e">
        <f t="shared" si="9"/>
        <v>#N/A</v>
      </c>
      <c r="O131" s="102" t="e">
        <f t="shared" si="12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10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1"/>
        <v>#N/A</v>
      </c>
      <c r="N132" s="88" t="e">
        <f t="shared" si="9"/>
        <v>#N/A</v>
      </c>
      <c r="O132" s="102" t="e">
        <f t="shared" si="12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10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1"/>
        <v>#N/A</v>
      </c>
      <c r="N133" s="88" t="e">
        <f t="shared" si="9"/>
        <v>#N/A</v>
      </c>
      <c r="O133" s="102" t="e">
        <f t="shared" si="12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10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11"/>
        <v>#N/A</v>
      </c>
      <c r="N134" s="88" t="e">
        <f t="shared" si="9"/>
        <v>#N/A</v>
      </c>
      <c r="O134" s="102" t="e">
        <f t="shared" si="12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10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11"/>
        <v>#N/A</v>
      </c>
      <c r="N135" s="88" t="e">
        <f t="shared" si="9"/>
        <v>#N/A</v>
      </c>
      <c r="O135" s="102" t="e">
        <f t="shared" si="12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10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11"/>
        <v>#N/A</v>
      </c>
      <c r="N136" s="88" t="e">
        <f t="shared" si="9"/>
        <v>#N/A</v>
      </c>
      <c r="O136" s="102" t="e">
        <f t="shared" si="12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10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11"/>
        <v>#N/A</v>
      </c>
      <c r="N137" s="88" t="e">
        <f t="shared" si="9"/>
        <v>#N/A</v>
      </c>
      <c r="O137" s="102" t="e">
        <f t="shared" si="12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10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11"/>
        <v>#N/A</v>
      </c>
      <c r="N138" s="88" t="e">
        <f t="shared" si="9"/>
        <v>#N/A</v>
      </c>
      <c r="O138" s="102" t="e">
        <f t="shared" si="12"/>
        <v>#N/A</v>
      </c>
    </row>
    <row r="139" spans="1:15" ht="13.2" thickBot="1" x14ac:dyDescent="0.25">
      <c r="A139" s="94"/>
      <c r="B139" s="62" t="e">
        <f>IF(LEN(VLOOKUP(A139,'Species List'!$A:$G,2,FALSE))=0,"",VLOOKUP(A139,'Species List'!$A:$G,2,FALSE))</f>
        <v>#N/A</v>
      </c>
      <c r="C139" s="62" t="e">
        <f>IF(LEN(VLOOKUP(A139,'Species List'!$A:$G,3,FALSE))=0,"",VLOOKUP(A139,'Species List'!$A:$G,3,FALSE))</f>
        <v>#N/A</v>
      </c>
      <c r="D139" s="103" t="e">
        <f t="shared" si="10"/>
        <v>#N/A</v>
      </c>
      <c r="E139" s="62" t="e">
        <f>IF(LEN(VLOOKUP(A139,'Species List'!$A:$G,4,FALSE))=0,"",VLOOKUP(A139,'Species List'!$A:$G,4,FALSE))</f>
        <v>#N/A</v>
      </c>
      <c r="F139" s="62" t="e">
        <f>IF(LEN(VLOOKUP(A139,'Species List'!$A:$G,5,FALSE))=0,"",VLOOKUP(A139,'Species List'!$A:$G,5,FALSE))</f>
        <v>#N/A</v>
      </c>
      <c r="G139" s="62" t="e">
        <f>IF(LEN(VLOOKUP(A139,'Species List'!$A:$G,6,FALSE))=0,"",VLOOKUP(A139,'Species List'!$A:$G,6,FALSE))</f>
        <v>#N/A</v>
      </c>
      <c r="H139" s="62" t="e">
        <f>VLOOKUP(A139,'Species List'!$A:$G,7,FALSE)</f>
        <v>#N/A</v>
      </c>
      <c r="I139" s="45"/>
      <c r="J139" s="96"/>
      <c r="K139" s="64" t="e">
        <f>VLOOKUP(J139,'Species List'!$H$1:$J$9,2,FALSE)</f>
        <v>#N/A</v>
      </c>
      <c r="L139" s="64" t="e">
        <f>VLOOKUP(K139,'Species List'!$I$1:$N$8,2,FALSE)</f>
        <v>#N/A</v>
      </c>
      <c r="M139" s="104" t="e">
        <f t="shared" si="11"/>
        <v>#N/A</v>
      </c>
      <c r="N139" s="45" t="e">
        <f t="shared" si="9"/>
        <v>#N/A</v>
      </c>
      <c r="O139" s="102" t="e">
        <f t="shared" si="12"/>
        <v>#N/A</v>
      </c>
    </row>
    <row r="140" spans="1:15" ht="13.8" thickTop="1" thickBot="1" x14ac:dyDescent="0.25">
      <c r="I140" s="139" t="s">
        <v>5387</v>
      </c>
      <c r="J140" s="140"/>
      <c r="K140" s="141"/>
      <c r="L140" s="63">
        <f>SUMIF(L10:L139,"&gt;=0")</f>
        <v>163.5</v>
      </c>
      <c r="M140" s="81"/>
    </row>
  </sheetData>
  <protectedRanges>
    <protectedRange password="EBBA" sqref="B9" name="Range1"/>
    <protectedRange password="EBBA" sqref="K10:K139" name="Range2"/>
  </protectedRanges>
  <dataConsolidate/>
  <mergeCells count="3">
    <mergeCell ref="A1:O1"/>
    <mergeCell ref="B7:E7"/>
    <mergeCell ref="I140:K140"/>
  </mergeCells>
  <conditionalFormatting sqref="A12:A27">
    <cfRule type="duplicateValues" dxfId="0" priority="2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J21:J139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I10:I139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8" workbookViewId="0">
      <selection activeCell="F33" sqref="F33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2846</v>
      </c>
      <c r="B12" s="44" t="str">
        <f>IF(LEN(VLOOKUP(A12,'Species List'!$A:$G,2,FALSE))=0,"",VLOOKUP(A12,'Species List'!$A:$G,2,FALSE))</f>
        <v>Canada mayflower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</v>
      </c>
      <c r="H12" s="44">
        <f>VLOOKUP(A12,'Species List'!$A:$G,7,FALSE)</f>
        <v>0</v>
      </c>
      <c r="J12" s="112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4.8387096774193547E-2</v>
      </c>
      <c r="O12" s="88">
        <f>D12*N12</f>
        <v>0.24193548387096775</v>
      </c>
    </row>
    <row r="13" spans="1:15" x14ac:dyDescent="0.2">
      <c r="A13" s="109" t="s">
        <v>359</v>
      </c>
      <c r="B13" s="44" t="str">
        <f>IF(LEN(VLOOKUP(A13,'Species List'!$A:$G,2,FALSE))=0,"",VLOOKUP(A13,'Species List'!$A:$G,2,FALSE))</f>
        <v>hog peanut</v>
      </c>
      <c r="C13" s="44">
        <f>IF(LEN(VLOOKUP(A13,'Species List'!$A:$G,3,FALSE))=0,"",VLOOKUP(A13,'Species List'!$A:$G,3,FALSE))</f>
        <v>2</v>
      </c>
      <c r="D13" s="103">
        <f t="shared" ref="D13:D76" si="0">VALUE(C13)</f>
        <v>2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2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4.8387096774193547E-2</v>
      </c>
      <c r="O13" s="102">
        <f t="shared" ref="O13:O76" si="3">D13*N13</f>
        <v>9.6774193548387094E-2</v>
      </c>
    </row>
    <row r="14" spans="1:15" x14ac:dyDescent="0.2">
      <c r="A14" s="110" t="s">
        <v>2234</v>
      </c>
      <c r="B14" s="44" t="str">
        <f>IF(LEN(VLOOKUP(A14,'Species List'!$A:$G,2,FALSE))=0,"",VLOOKUP(A14,'Species List'!$A:$G,2,FALSE))</f>
        <v>wild geranium</v>
      </c>
      <c r="C14" s="44">
        <f>IF(LEN(VLOOKUP(A14,'Species List'!$A:$G,3,FALSE))=0,"",VLOOKUP(A14,'Species List'!$A:$G,3,FALSE))</f>
        <v>4</v>
      </c>
      <c r="D14" s="103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2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4.8387096774193547E-2</v>
      </c>
      <c r="O14" s="102">
        <f t="shared" si="3"/>
        <v>0.19354838709677419</v>
      </c>
    </row>
    <row r="15" spans="1:15" x14ac:dyDescent="0.2">
      <c r="A15" s="109" t="s">
        <v>4469</v>
      </c>
      <c r="B15" s="44" t="str">
        <f>IF(LEN(VLOOKUP(A15,'Species List'!$A:$G,2,FALSE))=0,"",VLOOKUP(A15,'Species List'!$A:$G,2,FALSE))</f>
        <v>common dandelion</v>
      </c>
      <c r="C15" s="44">
        <f>IF(LEN(VLOOKUP(A15,'Species List'!$A:$G,3,FALSE))=0,"",VLOOKUP(A15,'Species List'!$A:$G,3,FALSE))</f>
        <v>0</v>
      </c>
      <c r="D15" s="103">
        <f t="shared" si="0"/>
        <v>0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2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1"/>
        <v>0.5</v>
      </c>
      <c r="N15" s="102">
        <f t="shared" si="2"/>
        <v>8.0645161290322578E-3</v>
      </c>
      <c r="O15" s="102">
        <f t="shared" si="3"/>
        <v>0</v>
      </c>
    </row>
    <row r="16" spans="1:15" x14ac:dyDescent="0.2">
      <c r="A16" s="109" t="s">
        <v>5315</v>
      </c>
      <c r="B16" s="44" t="str">
        <f>IF(LEN(VLOOKUP(A16,'Species List'!$A:$G,2,FALSE))=0,"",VLOOKUP(A16,'Species List'!$A:$G,2,FALSE))</f>
        <v/>
      </c>
      <c r="C16" s="44">
        <v>1</v>
      </c>
      <c r="D16" s="103">
        <f t="shared" si="0"/>
        <v>1</v>
      </c>
      <c r="E16" s="44" t="str">
        <f>IF(LEN(VLOOKUP(A16,'Species List'!$A:$G,4,FALSE))=0,"",VLOOKUP(A16,'Species List'!$A:$G,4,FALSE))</f>
        <v/>
      </c>
      <c r="F16" s="44" t="s">
        <v>147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2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4.8387096774193547E-2</v>
      </c>
      <c r="O16" s="102">
        <f t="shared" si="3"/>
        <v>4.8387096774193547E-2</v>
      </c>
    </row>
    <row r="17" spans="1:15" x14ac:dyDescent="0.2">
      <c r="A17" s="109" t="s">
        <v>2187</v>
      </c>
      <c r="B17" s="44" t="str">
        <f>IF(LEN(VLOOKUP(A17,'Species List'!$A:$G,2,FALSE))=0,"",VLOOKUP(A17,'Species List'!$A:$G,2,FALSE))</f>
        <v/>
      </c>
      <c r="C17" s="44">
        <f>IF(LEN(VLOOKUP(A17,'Species List'!$A:$G,3,FALSE))=0,"",VLOOKUP(A17,'Species List'!$A:$G,3,FALSE))</f>
        <v>4</v>
      </c>
      <c r="D17" s="103">
        <f t="shared" si="0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FACU+</v>
      </c>
      <c r="H17" s="44">
        <f>VLOOKUP(A17,'Species List'!$A:$G,7,FALSE)</f>
        <v>0</v>
      </c>
      <c r="J17" s="112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4.8387096774193547E-2</v>
      </c>
      <c r="O17" s="102">
        <f t="shared" si="3"/>
        <v>0.19354838709677419</v>
      </c>
    </row>
    <row r="18" spans="1:15" x14ac:dyDescent="0.2">
      <c r="A18" s="109" t="s">
        <v>1366</v>
      </c>
      <c r="B18" s="44" t="str">
        <f>IF(LEN(VLOOKUP(A18,'Species List'!$A:$G,2,FALSE))=0,"",VLOOKUP(A18,'Species List'!$A:$G,2,FALSE))</f>
        <v>common enchanter's nightshade</v>
      </c>
      <c r="C18" s="44">
        <f>IF(LEN(VLOOKUP(A18,'Species List'!$A:$G,3,FALSE))=0,"",VLOOKUP(A18,'Species List'!$A:$G,3,FALSE))</f>
        <v>2</v>
      </c>
      <c r="D18" s="103">
        <f t="shared" si="0"/>
        <v>2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[FACU]</v>
      </c>
      <c r="H18" s="44">
        <f>VLOOKUP(A18,'Species List'!$A:$G,7,FALSE)</f>
        <v>0</v>
      </c>
      <c r="J18" s="112">
        <v>1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4.8387096774193547E-2</v>
      </c>
      <c r="O18" s="102">
        <f t="shared" si="3"/>
        <v>9.6774193548387094E-2</v>
      </c>
    </row>
    <row r="19" spans="1:15" x14ac:dyDescent="0.2">
      <c r="A19" s="109" t="s">
        <v>4510</v>
      </c>
      <c r="B19" s="44" t="str">
        <f>IF(LEN(VLOOKUP(A19,'Species List'!$A:$G,2,FALSE))=0,"",VLOOKUP(A19,'Species List'!$A:$G,2,FALSE))</f>
        <v>Japanese Hedge Parsley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112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4.8387096774193547E-2</v>
      </c>
      <c r="O19" s="102">
        <f t="shared" si="3"/>
        <v>0</v>
      </c>
    </row>
    <row r="20" spans="1:15" x14ac:dyDescent="0.2">
      <c r="A20" s="109" t="s">
        <v>270</v>
      </c>
      <c r="B20" s="44" t="str">
        <f>IF(LEN(VLOOKUP(A20,'Species List'!$A:$G,2,FALSE))=0,"",VLOOKUP(A20,'Species List'!$A:$G,2,FALSE))</f>
        <v>garlic mustard</v>
      </c>
      <c r="C20" s="44">
        <f>IF(LEN(VLOOKUP(A20,'Species List'!$A:$G,3,FALSE))=0,"",VLOOKUP(A20,'Species List'!$A:$G,3,FALSE))</f>
        <v>0</v>
      </c>
      <c r="D20" s="103">
        <f t="shared" si="0"/>
        <v>0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</v>
      </c>
      <c r="H20" s="44">
        <f>VLOOKUP(A20,'Species List'!$A:$G,7,FALSE)</f>
        <v>0</v>
      </c>
      <c r="J20" s="112">
        <v>1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4.8387096774193547E-2</v>
      </c>
      <c r="O20" s="102">
        <f t="shared" si="3"/>
        <v>0</v>
      </c>
    </row>
    <row r="21" spans="1:15" x14ac:dyDescent="0.2">
      <c r="A21" s="109" t="s">
        <v>1659</v>
      </c>
      <c r="B21" s="44" t="str">
        <f>IF(LEN(VLOOKUP(A21,'Species List'!$A:$G,2,FALSE))=0,"",VLOOKUP(A21,'Species List'!$A:$G,2,FALSE))</f>
        <v>pointed-leaved tick trefoil</v>
      </c>
      <c r="C21" s="44">
        <v>4</v>
      </c>
      <c r="D21" s="103">
        <f t="shared" si="0"/>
        <v>4</v>
      </c>
      <c r="E21" s="44" t="str">
        <f>IF(LEN(VLOOKUP(A21,'Species List'!$A:$G,4,FALSE))=0,"",VLOOKUP(A21,'Species List'!$A:$G,4,FALSE))</f>
        <v>H</v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2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4.8387096774193547E-2</v>
      </c>
      <c r="O21" s="102">
        <f t="shared" si="3"/>
        <v>0.19354838709677419</v>
      </c>
    </row>
    <row r="22" spans="1:15" x14ac:dyDescent="0.2">
      <c r="A22" s="110" t="s">
        <v>473</v>
      </c>
      <c r="B22" s="44" t="str">
        <f>IF(LEN(VLOOKUP(A22,'Species List'!$A:$G,2,FALSE))=0,"",VLOOKUP(A22,'Species List'!$A:$G,2,FALSE))</f>
        <v>Jack-in-the-pulpit</v>
      </c>
      <c r="C22" s="44">
        <f>IF(LEN(VLOOKUP(A22,'Species List'!$A:$G,3,FALSE))=0,"",VLOOKUP(A22,'Species List'!$A:$G,3,FALSE))</f>
        <v>4</v>
      </c>
      <c r="D22" s="103">
        <f t="shared" si="0"/>
        <v>4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FACW-</v>
      </c>
      <c r="H22" s="44">
        <f>VLOOKUP(A22,'Species List'!$A:$G,7,FALSE)</f>
        <v>0</v>
      </c>
      <c r="J22" s="112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4.8387096774193547E-2</v>
      </c>
      <c r="O22" s="102">
        <f t="shared" si="3"/>
        <v>0.19354838709677419</v>
      </c>
    </row>
    <row r="23" spans="1:15" x14ac:dyDescent="0.2">
      <c r="A23" s="110" t="s">
        <v>533</v>
      </c>
      <c r="B23" s="44" t="str">
        <f>IF(LEN(VLOOKUP(A23,'Species List'!$A:$G,2,FALSE))=0,"",VLOOKUP(A23,'Species List'!$A:$G,2,FALSE))</f>
        <v>poke milkweed</v>
      </c>
      <c r="C23" s="44">
        <f>IF(LEN(VLOOKUP(A23,'Species List'!$A:$G,3,FALSE))=0,"",VLOOKUP(A23,'Species List'!$A:$G,3,FALSE))</f>
        <v>7</v>
      </c>
      <c r="D23" s="103">
        <f t="shared" si="0"/>
        <v>7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UPL</v>
      </c>
      <c r="H23" s="44">
        <f>VLOOKUP(A23,'Species List'!$A:$G,7,FALSE)</f>
        <v>0</v>
      </c>
      <c r="J23" s="112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4.8387096774193547E-2</v>
      </c>
      <c r="O23" s="102">
        <f t="shared" si="3"/>
        <v>0.33870967741935482</v>
      </c>
    </row>
    <row r="24" spans="1:15" x14ac:dyDescent="0.2">
      <c r="A24" s="109" t="s">
        <v>3885</v>
      </c>
      <c r="B24" s="44" t="str">
        <f>IF(LEN(VLOOKUP(A24,'Species List'!$A:$G,2,FALSE))=0,"",VLOOKUP(A24,'Species List'!$A:$G,2,FALSE))</f>
        <v>tall coneflower</v>
      </c>
      <c r="C24" s="44">
        <f>IF(LEN(VLOOKUP(A24,'Species List'!$A:$G,3,FALSE))=0,"",VLOOKUP(A24,'Species List'!$A:$G,3,FALSE))</f>
        <v>6</v>
      </c>
      <c r="D24" s="103">
        <f t="shared" si="0"/>
        <v>6</v>
      </c>
      <c r="E24" s="44" t="str">
        <f>IF(LEN(VLOOKUP(A24,'Species List'!$A:$G,4,FALSE))=0,"",VLOOKUP(A24,'Species List'!$A:$G,4,FALSE))</f>
        <v/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FACW</v>
      </c>
      <c r="H24" s="44">
        <f>VLOOKUP(A24,'Species List'!$A:$G,7,FALSE)</f>
        <v>0</v>
      </c>
      <c r="J24" s="112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4.8387096774193547E-2</v>
      </c>
      <c r="O24" s="102">
        <f t="shared" si="3"/>
        <v>0.29032258064516125</v>
      </c>
    </row>
    <row r="25" spans="1:15" x14ac:dyDescent="0.2">
      <c r="A25" s="109" t="s">
        <v>3737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5</v>
      </c>
      <c r="D25" s="103">
        <f t="shared" si="0"/>
        <v>5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FACW</v>
      </c>
      <c r="H25" s="44">
        <f>VLOOKUP(A25,'Species List'!$A:$G,7,FALSE)</f>
        <v>0</v>
      </c>
      <c r="J25" s="112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4.8387096774193547E-2</v>
      </c>
      <c r="O25" s="102">
        <f t="shared" si="3"/>
        <v>0.24193548387096775</v>
      </c>
    </row>
    <row r="26" spans="1:15" x14ac:dyDescent="0.2">
      <c r="A26" s="109" t="s">
        <v>4483</v>
      </c>
      <c r="B26" s="44" t="str">
        <f>IF(LEN(VLOOKUP(A26,'Species List'!$A:$G,2,FALSE))=0,"",VLOOKUP(A26,'Species List'!$A:$G,2,FALSE))</f>
        <v>early meadow-rue</v>
      </c>
      <c r="C26" s="44">
        <f>IF(LEN(VLOOKUP(A26,'Species List'!$A:$G,3,FALSE))=0,"",VLOOKUP(A26,'Species List'!$A:$G,3,FALSE))</f>
        <v>5</v>
      </c>
      <c r="D26" s="103">
        <f t="shared" si="0"/>
        <v>5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FACU+</v>
      </c>
      <c r="H26" s="44">
        <f>VLOOKUP(A26,'Species List'!$A:$G,7,FALSE)</f>
        <v>0</v>
      </c>
      <c r="J26" s="112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4.8387096774193547E-2</v>
      </c>
      <c r="O26" s="102">
        <f t="shared" si="3"/>
        <v>0.24193548387096775</v>
      </c>
    </row>
    <row r="27" spans="1:15" x14ac:dyDescent="0.2">
      <c r="A27" s="109" t="s">
        <v>462</v>
      </c>
      <c r="B27" s="44" t="str">
        <f>IF(LEN(VLOOKUP(A27,'Species List'!$A:$G,2,FALSE))=0,"",VLOOKUP(A27,'Species List'!$A:$G,2,FALSE))</f>
        <v>common burdock</v>
      </c>
      <c r="C27" s="44">
        <f>IF(LEN(VLOOKUP(A27,'Species List'!$A:$G,3,FALSE))=0,"",VLOOKUP(A27,'Species List'!$A:$G,3,FALSE))</f>
        <v>0</v>
      </c>
      <c r="D27" s="103">
        <f t="shared" si="0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112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1"/>
        <v>0.5</v>
      </c>
      <c r="N27" s="102">
        <f t="shared" si="2"/>
        <v>8.0645161290322578E-3</v>
      </c>
      <c r="O27" s="102">
        <f t="shared" si="3"/>
        <v>0</v>
      </c>
    </row>
    <row r="28" spans="1:15" x14ac:dyDescent="0.2">
      <c r="A28" s="113" t="s">
        <v>597</v>
      </c>
      <c r="B28" s="44" t="str">
        <f>IF(LEN(VLOOKUP(A28,'Species List'!$A:$G,2,FALSE))=0,"",VLOOKUP(A28,'Species List'!$A:$G,2,FALSE))</f>
        <v>lady fern</v>
      </c>
      <c r="C28" s="44">
        <f>IF(LEN(VLOOKUP(A28,'Species List'!$A:$G,3,FALSE))=0,"",VLOOKUP(A28,'Species List'!$A:$G,3,FALSE))</f>
        <v>5</v>
      </c>
      <c r="D28" s="103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4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4.8387096774193547E-2</v>
      </c>
      <c r="O28" s="102">
        <f t="shared" si="3"/>
        <v>0.24193548387096775</v>
      </c>
    </row>
    <row r="29" spans="1:15" x14ac:dyDescent="0.2">
      <c r="A29" s="113" t="s">
        <v>2241</v>
      </c>
      <c r="B29" s="44" t="str">
        <f>IF(LEN(VLOOKUP(A29,'Species List'!$A:$G,2,FALSE))=0,"",VLOOKUP(A29,'Species List'!$A:$G,2,FALSE))</f>
        <v>white avens</v>
      </c>
      <c r="C29" s="44">
        <f>IF(LEN(VLOOKUP(A29,'Species List'!$A:$G,3,FALSE))=0,"",VLOOKUP(A29,'Species List'!$A:$G,3,FALSE))</f>
        <v>2</v>
      </c>
      <c r="D29" s="103">
        <f t="shared" si="0"/>
        <v>2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</v>
      </c>
      <c r="H29" s="44">
        <f>VLOOKUP(A29,'Species List'!$A:$G,7,FALSE)</f>
        <v>0</v>
      </c>
      <c r="J29" s="115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4.8387096774193547E-2</v>
      </c>
      <c r="O29" s="102">
        <f t="shared" si="3"/>
        <v>9.6774193548387094E-2</v>
      </c>
    </row>
    <row r="30" spans="1:15" x14ac:dyDescent="0.2">
      <c r="A30" s="109" t="s">
        <v>2847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5</v>
      </c>
      <c r="D30" s="103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115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4.8387096774193547E-2</v>
      </c>
      <c r="O30" s="102">
        <f t="shared" si="3"/>
        <v>0.24193548387096775</v>
      </c>
    </row>
    <row r="31" spans="1:15" x14ac:dyDescent="0.2">
      <c r="A31" s="109" t="s">
        <v>4518</v>
      </c>
      <c r="B31" s="44" t="str">
        <f>IF(LEN(VLOOKUP(A31,'Species List'!$A:$G,2,FALSE))=0,"",VLOOKUP(A31,'Species List'!$A:$G,2,FALSE))</f>
        <v>western poison ivy</v>
      </c>
      <c r="C31" s="44">
        <f>IF(LEN(VLOOKUP(A31,'Species List'!$A:$G,3,FALSE))=0,"",VLOOKUP(A31,'Species List'!$A:$G,3,FALSE))</f>
        <v>1</v>
      </c>
      <c r="D31" s="103">
        <f t="shared" si="0"/>
        <v>1</v>
      </c>
      <c r="E31" s="44" t="str">
        <f>IF(LEN(VLOOKUP(A31,'Species List'!$A:$G,4,FALSE))=0,"",VLOOKUP(A31,'Species List'!$A:$G,4,FALSE))</f>
        <v>D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</v>
      </c>
      <c r="H31" s="44">
        <f>VLOOKUP(A31,'Species List'!$A:$G,7,FALSE)</f>
        <v>0</v>
      </c>
      <c r="J31" s="115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4.8387096774193547E-2</v>
      </c>
      <c r="O31" s="102">
        <f t="shared" si="3"/>
        <v>4.8387096774193547E-2</v>
      </c>
    </row>
    <row r="32" spans="1:15" x14ac:dyDescent="0.2">
      <c r="A32" s="109" t="s">
        <v>5290</v>
      </c>
      <c r="B32" s="44" t="str">
        <f>IF(LEN(VLOOKUP(A32,'Species List'!$A:$G,2,FALSE))=0,"",VLOOKUP(A32,'Species List'!$A:$G,2,FALSE))</f>
        <v/>
      </c>
      <c r="C32" s="44">
        <v>1</v>
      </c>
      <c r="D32" s="103">
        <f t="shared" si="0"/>
        <v>1</v>
      </c>
      <c r="E32" s="44" t="str">
        <f>IF(LEN(VLOOKUP(A32,'Species List'!$A:$G,4,FALSE))=0,"",VLOOKUP(A32,'Species List'!$A:$G,4,FALSE))</f>
        <v/>
      </c>
      <c r="F32" s="44" t="s">
        <v>147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15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4.8387096774193547E-2</v>
      </c>
      <c r="O32" s="102">
        <f t="shared" si="3"/>
        <v>4.8387096774193547E-2</v>
      </c>
    </row>
    <row r="33" spans="1:15" x14ac:dyDescent="0.2">
      <c r="A33" s="109" t="s">
        <v>3709</v>
      </c>
      <c r="B33" s="44" t="str">
        <f>IF(LEN(VLOOKUP(A33,'Species List'!$A:$G,2,FALSE))=0,"",VLOOKUP(A33,'Species List'!$A:$G,2,FALSE))</f>
        <v>kidney-leaved buttercup</v>
      </c>
      <c r="C33" s="44">
        <f>IF(LEN(VLOOKUP(A33,'Species List'!$A:$G,3,FALSE))=0,"",VLOOKUP(A33,'Species List'!$A:$G,3,FALSE))</f>
        <v>1</v>
      </c>
      <c r="D33" s="103">
        <f t="shared" si="0"/>
        <v>1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FACW-</v>
      </c>
      <c r="H33" s="44">
        <f>VLOOKUP(A33,'Species List'!$A:$G,7,FALSE)</f>
        <v>0</v>
      </c>
      <c r="J33" s="115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8.0645161290322578E-3</v>
      </c>
      <c r="O33" s="102">
        <f t="shared" si="3"/>
        <v>8.0645161290322578E-3</v>
      </c>
    </row>
    <row r="34" spans="1:15" x14ac:dyDescent="0.2">
      <c r="A34" s="109" t="s">
        <v>3132</v>
      </c>
      <c r="B34" s="44" t="str">
        <f>IF(LEN(VLOOKUP(A34,'Species List'!$A:$G,2,FALSE))=0,"",VLOOKUP(A34,'Species List'!$A:$G,2,FALSE))</f>
        <v>Clayton's sweet cicely</v>
      </c>
      <c r="C34" s="44">
        <f>IF(LEN(VLOOKUP(A34,'Species List'!$A:$G,3,FALSE))=0,"",VLOOKUP(A34,'Species List'!$A:$G,3,FALSE))</f>
        <v>3</v>
      </c>
      <c r="D34" s="103">
        <f t="shared" si="0"/>
        <v>3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FACU-</v>
      </c>
      <c r="H34" s="44">
        <f>VLOOKUP(A34,'Species List'!$A:$G,7,FALSE)</f>
        <v>0</v>
      </c>
      <c r="J34" s="115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4">
        <f t="shared" si="1"/>
        <v>0.5</v>
      </c>
      <c r="N34" s="102">
        <f t="shared" si="2"/>
        <v>8.0645161290322578E-3</v>
      </c>
      <c r="O34" s="102">
        <f t="shared" si="3"/>
        <v>2.4193548387096774E-2</v>
      </c>
    </row>
    <row r="35" spans="1:15" x14ac:dyDescent="0.2">
      <c r="A35" s="109" t="s">
        <v>2575</v>
      </c>
      <c r="B35" s="44" t="str">
        <f>IF(LEN(VLOOKUP(A35,'Species List'!$A:$G,2,FALSE))=0,"",VLOOKUP(A35,'Species List'!$A:$G,2,FALSE))</f>
        <v>biennial blue lettuce</v>
      </c>
      <c r="C35" s="44">
        <f>IF(LEN(VLOOKUP(A35,'Species List'!$A:$G,3,FALSE))=0,"",VLOOKUP(A35,'Species List'!$A:$G,3,FALSE))</f>
        <v>3</v>
      </c>
      <c r="D35" s="103">
        <f t="shared" si="0"/>
        <v>3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</v>
      </c>
      <c r="H35" s="44">
        <f>VLOOKUP(A35,'Species List'!$A:$G,7,FALSE)</f>
        <v>0</v>
      </c>
      <c r="J35" s="115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4.8387096774193547E-2</v>
      </c>
      <c r="O35" s="102">
        <f t="shared" si="3"/>
        <v>0.14516129032258063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62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J12" sqref="J12:J14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8"/>
      <c r="C7" s="138"/>
      <c r="D7" s="138"/>
      <c r="E7" s="138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09" t="s">
        <v>1142</v>
      </c>
      <c r="B12" s="44" t="str">
        <f>IF(LEN(VLOOKUP(A12,'Species List'!$A:$G,2,FALSE))=0,"",VLOOKUP(A12,'Species List'!$A:$G,2,FALSE))</f>
        <v>starry sedge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4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4">
        <f>VALUE(L12)</f>
        <v>0.5</v>
      </c>
      <c r="N12" s="102">
        <f t="shared" ref="N12:N75" si="0">L12/$L$151</f>
        <v>7.6923076923076927E-2</v>
      </c>
      <c r="O12" s="31">
        <f>D12*N12</f>
        <v>0.30769230769230771</v>
      </c>
    </row>
    <row r="13" spans="1:15" x14ac:dyDescent="0.2">
      <c r="A13" s="109" t="s">
        <v>924</v>
      </c>
      <c r="B13" s="44" t="str">
        <f>IF(LEN(VLOOKUP(A13,'Species List'!$A:$G,2,FALSE))=0,"",VLOOKUP(A13,'Species List'!$A:$G,2,FALSE))</f>
        <v>charming sedge</v>
      </c>
      <c r="C13" s="44">
        <f>IF(LEN(VLOOKUP(A13,'Species List'!$A:$G,3,FALSE))=0,"",VLOOKUP(A13,'Species List'!$A:$G,3,FALSE))</f>
        <v>2</v>
      </c>
      <c r="D13" s="103">
        <f t="shared" ref="D13:D18" si="1">VALUE(C13)</f>
        <v>2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5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0.46153846153846156</v>
      </c>
      <c r="O13" s="102">
        <f t="shared" ref="O13:O76" si="3">D13*N13</f>
        <v>0.92307692307692313</v>
      </c>
    </row>
    <row r="14" spans="1:15" x14ac:dyDescent="0.2">
      <c r="A14" s="109" t="s">
        <v>1881</v>
      </c>
      <c r="B14" s="44" t="str">
        <f>IF(LEN(VLOOKUP(A14,'Species List'!$A:$G,2,FALSE))=0,"",VLOOKUP(A14,'Species List'!$A:$G,2,FALSE))</f>
        <v>bottlebrush grass</v>
      </c>
      <c r="C14" s="44">
        <f>IF(LEN(VLOOKUP(A14,'Species List'!$A:$G,3,FALSE))=0,"",VLOOKUP(A14,'Species List'!$A:$G,3,FALSE))</f>
        <v>6</v>
      </c>
      <c r="D14" s="103">
        <f t="shared" si="1"/>
        <v>6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5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0.46153846153846156</v>
      </c>
      <c r="O14" s="102">
        <f t="shared" si="3"/>
        <v>2.7692307692307692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102" t="e">
        <f t="shared" si="0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6.5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2" t="s">
        <v>4840</v>
      </c>
      <c r="B1" s="142"/>
      <c r="C1" s="142"/>
      <c r="D1" s="142"/>
      <c r="E1" s="142"/>
      <c r="F1" s="142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COUNTIF(Woody!$F$10:$F$138,"Native")</f>
        <v>17</v>
      </c>
      <c r="C4" s="106">
        <f>COUNTIF(Forbs!$F$10:$F$148,"Native")</f>
        <v>20</v>
      </c>
      <c r="D4" s="106">
        <f>COUNTIF(Grasses!$F$10:$F$149,"Native")</f>
        <v>3</v>
      </c>
      <c r="E4" s="106">
        <f>AVERAGE(B4:D4)</f>
        <v>13.333333333333334</v>
      </c>
      <c r="F4" s="106">
        <f>SUM(B4:D4)</f>
        <v>40</v>
      </c>
    </row>
    <row r="5" spans="1:6" ht="17.399999999999999" x14ac:dyDescent="0.3">
      <c r="A5" s="53" t="s">
        <v>4845</v>
      </c>
      <c r="B5" s="106">
        <f>COUNTIF(Woody!$F10:$F188,"Introduced")</f>
        <v>1</v>
      </c>
      <c r="C5" s="106">
        <f>COUNTIF(Forbs!$F10:$F199,"Introduced")</f>
        <v>4</v>
      </c>
      <c r="D5" s="106">
        <f>COUNTIF(Grasses!$F10:$F199,"Introduced")</f>
        <v>0</v>
      </c>
      <c r="E5" s="106">
        <f t="shared" ref="E5:E6" si="0">AVERAGE(B5:D5)</f>
        <v>1.6666666666666667</v>
      </c>
      <c r="F5" s="106">
        <f>SUM(B5:D5)</f>
        <v>5</v>
      </c>
    </row>
    <row r="6" spans="1:6" s="83" customFormat="1" ht="19.8" x14ac:dyDescent="0.4">
      <c r="A6" s="53" t="s">
        <v>5422</v>
      </c>
      <c r="B6" s="106">
        <f>SUM(B4:B5)</f>
        <v>18</v>
      </c>
      <c r="C6" s="106">
        <f>SUM(C4:C5)</f>
        <v>24</v>
      </c>
      <c r="D6" s="106">
        <f>SUM(D4:D5)</f>
        <v>3</v>
      </c>
      <c r="E6" s="106">
        <f t="shared" si="0"/>
        <v>15</v>
      </c>
      <c r="F6" s="106">
        <f>SUM(B6:D6)</f>
        <v>45</v>
      </c>
    </row>
    <row r="7" spans="1:6" ht="17.399999999999999" x14ac:dyDescent="0.3">
      <c r="A7" s="53" t="s">
        <v>4846</v>
      </c>
      <c r="B7" s="106">
        <f>AVERAGEIF(Woody!D12:D139,"&gt;0")</f>
        <v>3.2352941176470589</v>
      </c>
      <c r="C7" s="106">
        <f>AVERAGEIF(Forbs!D12:D150,"&gt;0")</f>
        <v>3.5</v>
      </c>
      <c r="D7" s="106">
        <f>AVERAGEIF(Grasses!D12:D150,"&gt;0")</f>
        <v>4</v>
      </c>
      <c r="E7" s="106">
        <f>AVERAGE(B7:D7)</f>
        <v>3.5784313725490193</v>
      </c>
      <c r="F7" s="106">
        <f>(SUMIF(Woody!D12:D139,"&gt;0")+SUMIF(Forbs!D12:D150,"&gt;0")+SUMIF(Grasses!D12:D150,"&gt;0"))/(COUNTIF(Woody!D12:D139,"&gt;0")+COUNTIF(Forbs!D12:D150,"&gt;0")+COUNTIF(Grasses!D12:D150,"&gt;0"))</f>
        <v>3.4249999999999998</v>
      </c>
    </row>
    <row r="8" spans="1:6" s="31" customFormat="1" ht="19.8" x14ac:dyDescent="0.4">
      <c r="A8" s="53" t="s">
        <v>5423</v>
      </c>
      <c r="B8" s="106">
        <f>AVERAGEIF(Woody!D12:D139,"&gt;=0")</f>
        <v>3.0555555555555554</v>
      </c>
      <c r="C8" s="106">
        <f>AVERAGEIF(Forbs!D12:D150,"&gt;=0")</f>
        <v>2.9166666666666665</v>
      </c>
      <c r="D8" s="106">
        <f>AVERAGEIF(Grasses!D12:D150,"&gt;=0")</f>
        <v>4</v>
      </c>
      <c r="E8" s="106">
        <f>AVERAGE(B8:D8)</f>
        <v>3.324074074074074</v>
      </c>
      <c r="F8" s="106">
        <f>(SUMIF(Woody!D12:D139,"&gt;=0")+SUMIF(Forbs!D12:D150,"&gt;=0")+SUMIF(Grasses!D12:D150,"&gt;=0"))/(COUNTIF(Woody!D12:D139,"&gt;=0")+COUNTIF(Forbs!D12:D150,"&gt;=0")+COUNTIF(Grasses!D12:D150,"&gt;=0"))</f>
        <v>3.0444444444444443</v>
      </c>
    </row>
    <row r="9" spans="1:6" ht="17.399999999999999" x14ac:dyDescent="0.3">
      <c r="A9" s="53" t="s">
        <v>4839</v>
      </c>
      <c r="B9" s="106">
        <f>SQRT(B4)*B7</f>
        <v>13.339459376998313</v>
      </c>
      <c r="C9" s="106">
        <f>SQRT(C4)*C7</f>
        <v>15.652475842498529</v>
      </c>
      <c r="D9" s="106">
        <f>SQRT(D4)*D7</f>
        <v>6.9282032302755088</v>
      </c>
      <c r="E9" s="106">
        <f>SQRT(E4)*E7</f>
        <v>13.066583888195138</v>
      </c>
      <c r="F9" s="106">
        <f>SQRT(F4)*F7</f>
        <v>21.661601972153399</v>
      </c>
    </row>
    <row r="10" spans="1:6" s="84" customFormat="1" ht="19.8" x14ac:dyDescent="0.4">
      <c r="A10" s="53" t="s">
        <v>5424</v>
      </c>
      <c r="B10" s="106">
        <f>SQRT(B6)*B8</f>
        <v>12.96362432175337</v>
      </c>
      <c r="C10" s="106">
        <f>SQRT(C6)*C8</f>
        <v>14.288690166235204</v>
      </c>
      <c r="D10" s="106">
        <f>SQRT(D6)*D8</f>
        <v>6.9282032302755088</v>
      </c>
      <c r="E10" s="106">
        <f>SQRT(E6)*E8</f>
        <v>12.874083530448729</v>
      </c>
      <c r="F10" s="106">
        <f>SQRT(F6)*F8</f>
        <v>20.422754194498079</v>
      </c>
    </row>
    <row r="11" spans="1:6" ht="17.399999999999999" x14ac:dyDescent="0.3">
      <c r="A11" s="53" t="s">
        <v>4847</v>
      </c>
      <c r="B11" s="106">
        <f>SUMIF(Woody!$M$10:$M$139,"&gt;=0")</f>
        <v>163.5</v>
      </c>
      <c r="C11" s="106">
        <f>SUMIF(Forbs!$M$10:$M$151,"&gt;=0")</f>
        <v>62</v>
      </c>
      <c r="D11" s="106">
        <f>SUMIF(Grasses!$M$10:$M$150,"&gt;=0")</f>
        <v>6.5</v>
      </c>
      <c r="E11" s="106">
        <f>AVERAGE(B11:D11)</f>
        <v>77.333333333333329</v>
      </c>
      <c r="F11" s="106">
        <f>SUM(B11:D11)</f>
        <v>232</v>
      </c>
    </row>
    <row r="12" spans="1:6" ht="17.399999999999999" x14ac:dyDescent="0.3">
      <c r="A12" s="53" t="s">
        <v>5388</v>
      </c>
      <c r="B12" s="106">
        <f>SUMIF(Woody!$F$10:$F$139,"Introduced",Woody!$L$10:$L$139)</f>
        <v>15</v>
      </c>
      <c r="C12" s="106">
        <f>SUMIF(Forbs!$F$10:$F$151,"Introduced",Forbs!$L$10:$L$151)</f>
        <v>7</v>
      </c>
      <c r="D12" s="106">
        <f>SUMIF(Grasses!$F$10:$F$150,"Introduced",Grasses!$L$10:$L$150)</f>
        <v>0</v>
      </c>
      <c r="E12" s="106">
        <f>AVERAGE(B12:D12)</f>
        <v>7.333333333333333</v>
      </c>
      <c r="F12" s="106">
        <f>SUM(B12:D12)</f>
        <v>22</v>
      </c>
    </row>
    <row r="13" spans="1:6" ht="18" thickBot="1" x14ac:dyDescent="0.35">
      <c r="A13" s="54" t="s">
        <v>4848</v>
      </c>
      <c r="B13" s="107">
        <f>B12/B11</f>
        <v>9.1743119266055051E-2</v>
      </c>
      <c r="C13" s="107">
        <f>C12/C11</f>
        <v>0.11290322580645161</v>
      </c>
      <c r="D13" s="107">
        <f>D12/D11</f>
        <v>0</v>
      </c>
      <c r="E13" s="107">
        <f>E12/E11</f>
        <v>9.4827586206896547E-2</v>
      </c>
      <c r="F13" s="107">
        <f>F12/F11</f>
        <v>9.4827586206896547E-2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SUMIF(Woody!$O$10:$O$139,"&gt;=0")</f>
        <v>3.6574923547400626</v>
      </c>
      <c r="C15" s="105">
        <f>SUMIF(Forbs!$O$10:$O$150,"&gt;=0")</f>
        <v>3.2258064516129039</v>
      </c>
      <c r="D15" s="105">
        <f>SUMIF(Grasses!$O$10:$O$150,"&gt;=0")</f>
        <v>4</v>
      </c>
      <c r="E15" s="105">
        <f>AVERAGE(B15:D15)</f>
        <v>3.6277662687843222</v>
      </c>
      <c r="F15" s="106">
        <f>SUM(B15:D15)</f>
        <v>10.883298806352967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2022-02-03T19:45:57Z</dcterms:modified>
</cp:coreProperties>
</file>