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9E702460-5D7D-4A6D-96A7-7915B5D4FCAE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6" i="10"/>
  <c r="C17" i="10"/>
  <c r="C18" i="10"/>
  <c r="C19" i="10"/>
  <c r="F14" i="9"/>
  <c r="F15" i="9"/>
  <c r="F16" i="9"/>
  <c r="F17" i="9"/>
  <c r="C13" i="9"/>
  <c r="C14" i="9"/>
  <c r="C15" i="9"/>
  <c r="C16" i="9"/>
  <c r="C17" i="9"/>
  <c r="B12" i="9" l="1"/>
  <c r="D16" i="9"/>
  <c r="C13" i="6" l="1"/>
  <c r="C14" i="6"/>
  <c r="C16" i="6"/>
  <c r="C17" i="6"/>
  <c r="C18" i="6"/>
  <c r="C19" i="6"/>
  <c r="C20" i="10"/>
  <c r="C21" i="10"/>
  <c r="C22" i="10"/>
  <c r="C23" i="10"/>
  <c r="C24" i="10"/>
  <c r="C25" i="10"/>
  <c r="C26" i="10"/>
  <c r="C27" i="10"/>
  <c r="C29" i="10"/>
  <c r="C30" i="10"/>
  <c r="C32" i="10"/>
  <c r="C33" i="10"/>
  <c r="C34" i="10"/>
  <c r="C36" i="10"/>
  <c r="C38" i="10"/>
  <c r="C39" i="10"/>
  <c r="C40" i="10"/>
  <c r="C41" i="10"/>
  <c r="C42" i="10"/>
  <c r="C43" i="10"/>
  <c r="C44" i="10"/>
  <c r="C45" i="10"/>
  <c r="C47" i="10"/>
  <c r="C48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8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D27" i="9"/>
  <c r="E27" i="9"/>
  <c r="F27" i="9"/>
  <c r="G27" i="9"/>
  <c r="H27" i="9"/>
  <c r="K27" i="9"/>
  <c r="L27" i="9" s="1"/>
  <c r="M27" i="9" s="1"/>
  <c r="B28" i="9"/>
  <c r="C28" i="9"/>
  <c r="D28" i="9" s="1"/>
  <c r="E28" i="9"/>
  <c r="F28" i="9"/>
  <c r="G28" i="9"/>
  <c r="H28" i="9"/>
  <c r="K28" i="9"/>
  <c r="L28" i="9"/>
  <c r="B29" i="9"/>
  <c r="C29" i="9"/>
  <c r="D29" i="9" s="1"/>
  <c r="E29" i="9"/>
  <c r="F29" i="9"/>
  <c r="G29" i="9"/>
  <c r="H29" i="9"/>
  <c r="K29" i="9"/>
  <c r="L29" i="9" s="1"/>
  <c r="M29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E31" i="9"/>
  <c r="D31" i="9"/>
  <c r="B31" i="9"/>
  <c r="K30" i="9"/>
  <c r="L30" i="9" s="1"/>
  <c r="M30" i="9" s="1"/>
  <c r="H30" i="9"/>
  <c r="G30" i="9"/>
  <c r="E30" i="9"/>
  <c r="D30" i="9"/>
  <c r="B30" i="9"/>
  <c r="M33" i="9" l="1"/>
  <c r="B12" i="7"/>
  <c r="B11" i="7"/>
  <c r="B5" i="7"/>
  <c r="B4" i="7"/>
  <c r="B7" i="7"/>
  <c r="B8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D21" i="6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E11" i="7" s="1"/>
  <c r="E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F11" i="7" l="1"/>
  <c r="F13" i="7" s="1"/>
  <c r="D13" i="7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<sst xmlns="http://schemas.openxmlformats.org/spreadsheetml/2006/main" count="13182" uniqueCount="5453">
  <si>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</si>
  <si>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</si>
  <si>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</si>
  <si>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</si>
  <si>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</si>
  <si>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</si>
  <si>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</si>
  <si>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</si>
  <si>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</si>
  <si>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</si>
  <si>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</si>
  <si>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</si>
  <si>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</si>
  <si>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</si>
  <si>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</si>
  <si>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</si>
  <si>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</si>
  <si>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</si>
  <si>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</si>
  <si>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</si>
  <si>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</si>
  <si>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</si>
  <si>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</si>
  <si>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</si>
  <si>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</si>
  <si>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</si>
  <si>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</si>
  <si>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</si>
  <si>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</si>
  <si>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</si>
  <si>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</si>
  <si>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</si>
  <si>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</si>
  <si>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</si>
  <si>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</si>
  <si>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</si>
  <si>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</si>
  <si>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</si>
  <si>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</si>
  <si>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</si>
  <si>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</si>
  <si>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</si>
  <si>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</si>
  <si>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</si>
  <si>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</si>
  <si>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</si>
  <si>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</si>
  <si>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</si>
  <si>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</si>
  <si>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</si>
  <si>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</si>
  <si>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</si>
  <si>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</si>
  <si>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</si>
  <si>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</si>
  <si>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</si>
  <si>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</si>
  <si>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</si>
  <si>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</si>
  <si>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</si>
  <si>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</si>
  <si>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</si>
  <si>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</si>
  <si>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</si>
  <si>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</si>
  <si>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</si>
  <si>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</si>
  <si>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</si>
  <si>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</si>
  <si>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</si>
  <si>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</si>
  <si>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</si>
  <si>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</si>
  <si>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</si>
  <si>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</si>
  <si>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</si>
  <si>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</si>
  <si>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</si>
  <si>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</si>
  <si>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</si>
  <si>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</si>
  <si>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</si>
  <si>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</si>
  <si>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</si>
  <si>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</si>
  <si>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</si>
  <si>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</si>
  <si>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</si>
  <si>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</si>
  <si>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</si>
  <si>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</si>
  <si>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</si>
  <si>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</si>
  <si>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</si>
  <si>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</si>
  <si>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</si>
  <si>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</si>
  <si>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</si>
  <si>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</si>
  <si>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</si>
  <si>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</si>
  <si>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</si>
  <si>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</si>
  <si>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</si>
  <si>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</si>
  <si>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</si>
  <si>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</si>
  <si>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</si>
  <si>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</si>
  <si>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</si>
  <si>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</si>
  <si>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</si>
  <si>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</si>
  <si>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</si>
  <si>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</si>
  <si>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</si>
  <si>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</si>
  <si>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</si>
  <si>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</si>
  <si>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</si>
  <si>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</si>
  <si>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</si>
  <si>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</si>
  <si>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</si>
  <si>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</si>
  <si>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</si>
  <si>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</si>
  <si>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</si>
  <si>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</si>
  <si>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</si>
  <si>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</si>
  <si>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</si>
  <si>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</si>
  <si>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</si>
  <si>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</si>
  <si>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</si>
  <si>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</si>
  <si>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</si>
  <si>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</si>
  <si>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</si>
  <si>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</si>
  <si>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</si>
  <si>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</si>
  <si>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</si>
  <si>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</si>
  <si>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</si>
  <si>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</si>
  <si>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</si>
  <si>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</si>
  <si>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</si>
  <si>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</si>
  <si>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</si>
  <si>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</si>
  <si>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</si>
  <si>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</si>
  <si>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</si>
  <si>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</si>
  <si>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</si>
  <si>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</si>
  <si>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</si>
  <si>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</si>
  <si>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</si>
  <si>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</si>
  <si>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</si>
  <si>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</si>
  <si>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</si>
  <si>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</si>
  <si>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</si>
  <si>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</si>
  <si>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</si>
  <si>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</si>
  <si>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</si>
  <si>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</si>
  <si>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</si>
  <si>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</si>
  <si>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</si>
  <si>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</si>
  <si>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</si>
  <si>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</si>
  <si>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</si>
  <si>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</si>
  <si>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</si>
  <si>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</si>
  <si>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</si>
  <si>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</si>
  <si>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</si>
  <si>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</si>
  <si>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</si>
  <si>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</si>
  <si>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</si>
  <si>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</si>
  <si>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</si>
  <si>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</si>
  <si>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</si>
  <si>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</si>
  <si>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</si>
  <si>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</si>
  <si>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</si>
  <si>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</si>
  <si>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</si>
  <si>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</si>
  <si>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</si>
  <si>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</si>
  <si>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</si>
  <si>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</si>
  <si>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</si>
  <si>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</si>
  <si>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</si>
  <si>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</si>
  <si>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</si>
  <si>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</si>
  <si>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</si>
  <si>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</si>
  <si>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</si>
  <si>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</si>
  <si>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</si>
  <si>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</si>
  <si>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</si>
  <si>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</si>
  <si>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</si>
  <si>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</si>
  <si>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</si>
  <si>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</si>
  <si>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</si>
  <si>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</si>
  <si>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</si>
  <si>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</si>
  <si>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</si>
  <si>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</si>
  <si>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</si>
  <si>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</si>
  <si>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</si>
  <si>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</si>
  <si>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</si>
  <si>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</si>
  <si>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</si>
  <si>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</si>
  <si>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</si>
  <si>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</si>
  <si>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</si>
  <si>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</si>
  <si>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</si>
  <si>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</si>
  <si>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</si>
  <si>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</si>
  <si>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</si>
  <si>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</si>
  <si>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</si>
  <si>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</si>
  <si>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</si>
  <si>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</si>
  <si>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</si>
  <si>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</si>
  <si>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</si>
  <si>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</si>
  <si>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</si>
  <si>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</si>
  <si>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</si>
  <si>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</si>
  <si>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</si>
  <si>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</si>
  <si>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</si>
  <si>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</si>
  <si>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</si>
  <si>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</si>
  <si>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</si>
  <si>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</si>
  <si>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</si>
  <si>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</si>
  <si>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</si>
  <si>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</si>
  <si>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</si>
  <si>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</si>
  <si>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</si>
  <si>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</si>
  <si>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</si>
  <si>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</si>
  <si>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</si>
  <si>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</si>
  <si>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</si>
  <si>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</si>
  <si>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</si>
  <si>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</si>
  <si>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</si>
  <si>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</si>
  <si>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</si>
  <si>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</si>
  <si>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</si>
  <si>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</si>
  <si>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</si>
  <si>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</si>
  <si>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</si>
  <si>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</si>
  <si>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</si>
  <si>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</si>
  <si>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</si>
  <si>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</si>
  <si>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</si>
  <si>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</si>
  <si>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</si>
  <si>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</si>
  <si>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</si>
  <si>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</si>
  <si>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</si>
  <si>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</si>
  <si>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</si>
  <si>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</si>
  <si>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</si>
  <si>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</si>
  <si>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</si>
  <si>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</si>
  <si>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</si>
  <si>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</si>
  <si>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</si>
  <si>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</si>
  <si>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</si>
  <si>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</si>
  <si>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</si>
  <si>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</si>
  <si>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</si>
  <si>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</si>
  <si>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</si>
  <si>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</si>
  <si>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</si>
  <si>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</si>
  <si>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</si>
  <si>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</si>
  <si>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</si>
  <si>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</si>
  <si>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</si>
  <si>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</si>
  <si>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</si>
  <si>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</si>
  <si>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</si>
  <si>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</si>
  <si>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</si>
  <si>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</si>
  <si>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</si>
  <si>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</si>
  <si>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</si>
  <si>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</si>
  <si>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</si>
  <si>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</si>
  <si>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</si>
  <si>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</si>
  <si>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</si>
  <si>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</si>
  <si>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</si>
  <si>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</si>
  <si>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</si>
  <si>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</si>
  <si>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</si>
  <si>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</si>
  <si>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</si>
  <si>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</si>
  <si>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</si>
  <si>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</si>
  <si>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</si>
  <si>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</si>
  <si>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</si>
  <si>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</si>
  <si>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</si>
  <si>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</si>
  <si>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</si>
  <si>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</si>
  <si>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</si>
  <si>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</si>
  <si>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</si>
  <si>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</si>
  <si>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</si>
  <si>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</si>
  <si>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</si>
  <si>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</si>
  <si>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</si>
  <si>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</si>
  <si>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</si>
  <si>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</si>
  <si>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</si>
  <si>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</si>
  <si>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</si>
  <si>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</si>
  <si>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</si>
  <si>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</si>
  <si>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</si>
  <si>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</si>
  <si>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</si>
  <si>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</si>
  <si>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</si>
  <si>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</si>
  <si>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</si>
  <si>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</si>
  <si>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</si>
  <si>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</si>
  <si>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</si>
  <si>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</si>
  <si>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</si>
  <si>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</si>
  <si>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</si>
  <si>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</si>
  <si>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</si>
  <si>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</si>
  <si>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</si>
  <si>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</si>
  <si>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</si>
  <si>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</si>
  <si>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</si>
  <si>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</si>
  <si>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</si>
  <si>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</si>
  <si>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</si>
  <si>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</si>
  <si>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</si>
  <si>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</si>
  <si>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</si>
  <si>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</si>
  <si>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</si>
  <si>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</si>
  <si>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</si>
  <si>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</si>
  <si>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</si>
  <si>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</si>
  <si>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</si>
  <si>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</si>
  <si>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</si>
  <si>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</si>
  <si>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</si>
  <si>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</si>
  <si>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</si>
  <si>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</si>
  <si>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</si>
  <si>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</si>
  <si>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</si>
  <si>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</si>
  <si>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</si>
  <si>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</si>
  <si>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</si>
  <si>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</si>
  <si>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</si>
  <si>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</si>
  <si>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</si>
  <si>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</si>
  <si>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</si>
  <si>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</si>
  <si>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</si>
  <si>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</si>
  <si>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</si>
  <si>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</si>
  <si>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</si>
  <si>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</si>
  <si>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</si>
  <si>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</si>
  <si>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</si>
  <si>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</si>
  <si>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</si>
  <si>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</si>
  <si>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</si>
  <si>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</si>
  <si>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</si>
  <si>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</si>
  <si>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</si>
  <si>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</si>
  <si>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</si>
  <si>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</si>
  <si>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</si>
  <si>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</si>
  <si>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</si>
  <si>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</si>
  <si>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</si>
  <si>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</si>
  <si>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</si>
  <si>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</si>
  <si>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</si>
  <si>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</si>
  <si>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</si>
  <si>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</si>
  <si>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</si>
  <si>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</si>
  <si>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</si>
  <si>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</si>
  <si>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</si>
  <si>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</si>
  <si>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</si>
  <si>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</si>
  <si>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</si>
  <si>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</si>
  <si>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</si>
  <si>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</si>
  <si>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</si>
  <si>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</si>
  <si>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</si>
  <si>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</si>
  <si>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</si>
  <si>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</si>
  <si>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</si>
  <si>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</si>
  <si>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</si>
  <si>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</si>
  <si>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</si>
  <si>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</si>
  <si>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</si>
  <si>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</si>
  <si>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</si>
  <si>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</si>
  <si>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</si>
  <si>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</si>
  <si>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</si>
  <si>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</si>
  <si>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</si>
  <si>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</si>
  <si>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</si>
  <si>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</si>
  <si>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</si>
  <si>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</si>
  <si>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</si>
  <si>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</si>
  <si>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</si>
  <si>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</si>
  <si>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</si>
  <si>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</si>
  <si>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</si>
  <si>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</si>
  <si>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</si>
  <si>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</si>
  <si>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</si>
  <si>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</si>
  <si>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</si>
  <si>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</si>
  <si>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</si>
  <si>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</si>
  <si>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</si>
  <si>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</si>
  <si>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</si>
  <si>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</si>
  <si>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</si>
  <si>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</si>
  <si>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</si>
  <si>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</si>
  <si>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</si>
  <si>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</si>
  <si>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</si>
  <si>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</si>
  <si>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</si>
  <si>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</si>
  <si>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</si>
  <si>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</si>
  <si>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</si>
  <si>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</si>
  <si>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</si>
  <si>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</si>
  <si>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</si>
  <si>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</si>
  <si>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</si>
  <si>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</si>
  <si>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</si>
  <si>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</si>
  <si>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</si>
  <si>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</si>
  <si>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</si>
  <si>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</si>
  <si>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</si>
  <si>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</si>
  <si>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</si>
  <si>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</si>
  <si>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</si>
  <si>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</si>
  <si>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</si>
  <si>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</si>
  <si>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</si>
  <si>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</si>
  <si>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</si>
  <si>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</si>
  <si>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</si>
  <si>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</si>
  <si>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</si>
  <si>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</si>
  <si>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</si>
  <si>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</si>
  <si>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</si>
  <si>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</si>
  <si>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</si>
  <si>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</si>
  <si>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</si>
  <si>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</si>
  <si>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</si>
  <si>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</si>
  <si>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</si>
  <si>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</si>
  <si>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</si>
  <si>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</si>
  <si>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</si>
  <si>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</si>
  <si>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</si>
  <si>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</si>
  <si>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</si>
  <si>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</si>
  <si>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</si>
  <si>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</si>
  <si>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</si>
  <si>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</si>
  <si>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</si>
  <si>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</si>
  <si>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</si>
  <si>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</si>
  <si>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</si>
  <si>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</si>
  <si>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</si>
  <si>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</si>
  <si>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</si>
  <si>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</si>
  <si>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</si>
  <si>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</si>
  <si>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</si>
  <si>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</si>
  <si>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</si>
  <si>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</si>
  <si>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</si>
  <si>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</si>
  <si>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</si>
  <si>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</si>
  <si>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</si>
  <si>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</si>
  <si>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</si>
  <si>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</si>
  <si>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</si>
  <si>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</si>
  <si>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</si>
  <si>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</si>
  <si>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</si>
  <si>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</si>
  <si>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</si>
  <si>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</si>
  <si>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</si>
  <si>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</si>
  <si>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</si>
  <si>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</si>
  <si>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</si>
  <si>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</si>
  <si>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</si>
  <si>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</si>
  <si>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</si>
  <si>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</si>
  <si>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</si>
  <si>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</si>
  <si>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</si>
  <si>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</si>
  <si>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</si>
  <si>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</si>
  <si>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</si>
  <si>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</si>
  <si>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</si>
  <si>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</si>
  <si>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</si>
  <si>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</si>
  <si>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</si>
  <si>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</si>
  <si>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</si>
  <si>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</si>
  <si>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</si>
  <si>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</si>
  <si>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</si>
  <si>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</si>
  <si>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</si>
  <si>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</si>
  <si>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</si>
  <si>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</si>
  <si>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</si>
  <si>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</si>
  <si>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</si>
  <si>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</si>
  <si>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</si>
  <si>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</si>
  <si>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</si>
  <si>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</si>
  <si>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</si>
  <si>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</si>
  <si>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</si>
  <si>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</si>
  <si>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</si>
  <si>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</si>
  <si>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</si>
  <si>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</si>
  <si>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</si>
  <si>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</si>
  <si>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</si>
  <si>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</si>
  <si>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</si>
  <si>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</si>
  <si>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</si>
  <si>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</si>
  <si>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</si>
  <si>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</si>
  <si>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</si>
  <si>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</si>
  <si>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</si>
  <si>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</si>
  <si>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</si>
  <si>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</si>
  <si>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</si>
  <si>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</si>
  <si>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</si>
  <si>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</si>
  <si>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</si>
  <si>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</si>
  <si>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</si>
  <si>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</si>
  <si>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</si>
  <si>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</si>
  <si>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</si>
  <si>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</si>
  <si>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</si>
  <si>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</si>
  <si>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</si>
  <si>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</si>
  <si>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</si>
  <si>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</si>
  <si>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</si>
  <si>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</si>
  <si>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</si>
  <si>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</si>
  <si>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</si>
  <si>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</si>
  <si>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</si>
  <si>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</si>
  <si>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</si>
  <si>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</si>
  <si>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</si>
  <si>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</si>
  <si>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</si>
  <si>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</si>
  <si>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</si>
  <si>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</si>
  <si>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</si>
  <si>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</si>
  <si>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</si>
  <si>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</si>
  <si>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</si>
  <si>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</si>
  <si>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</si>
  <si>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</si>
  <si>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</si>
  <si>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</si>
  <si>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</si>
  <si>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</si>
  <si>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</si>
  <si>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</si>
  <si>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</si>
  <si>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</si>
  <si>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</si>
  <si>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</si>
  <si>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</si>
  <si>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</si>
  <si>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</si>
  <si>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</si>
  <si>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</si>
  <si>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</si>
  <si>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</si>
  <si>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</si>
  <si>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</si>
  <si>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</si>
  <si>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</si>
  <si>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</si>
  <si>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</si>
  <si>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</si>
  <si>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</si>
  <si>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</si>
  <si>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</si>
  <si>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</si>
  <si>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</si>
  <si>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</si>
  <si>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</si>
  <si>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</si>
  <si>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</si>
  <si>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</si>
  <si>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</si>
  <si>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</si>
  <si>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</si>
  <si>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</si>
  <si>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</si>
  <si>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</si>
  <si>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</si>
  <si>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</si>
  <si>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</si>
  <si>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</si>
  <si>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</si>
  <si>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</si>
  <si>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</si>
  <si>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</si>
  <si>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</si>
  <si>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</si>
  <si>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</si>
  <si>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</si>
  <si>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</si>
  <si>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</si>
  <si>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</si>
  <si>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</si>
  <si>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</si>
  <si>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</si>
  <si>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</si>
  <si>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</si>
  <si>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</si>
  <si>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</si>
  <si>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</si>
  <si>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</si>
  <si>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</si>
  <si>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</si>
  <si>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</si>
  <si>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</si>
  <si>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</si>
  <si>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</si>
  <si>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</si>
  <si>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</si>
  <si>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</si>
  <si>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</si>
  <si>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</si>
  <si>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</si>
  <si>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</si>
  <si>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</si>
  <si>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</si>
  <si>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</si>
  <si>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</si>
  <si>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</si>
  <si>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</si>
  <si>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</si>
  <si>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</si>
  <si>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</si>
  <si>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</si>
  <si>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</si>
  <si>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</si>
  <si>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</si>
  <si>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</si>
  <si>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</si>
  <si>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</si>
  <si>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</si>
  <si>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</si>
  <si>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</si>
  <si>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</si>
  <si>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</si>
  <si>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</si>
  <si>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</si>
  <si>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</si>
  <si>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</si>
  <si>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</si>
  <si>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</si>
  <si>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</si>
  <si>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</si>
  <si>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</si>
  <si>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</si>
  <si>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</si>
  <si>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</si>
  <si>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</si>
  <si>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</si>
  <si>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</si>
  <si>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</si>
  <si>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</si>
  <si>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</si>
  <si>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</si>
  <si>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</si>
  <si>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</si>
  <si>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</si>
  <si>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</si>
  <si>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</si>
  <si>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</si>
  <si>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</si>
  <si>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</si>
  <si>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</si>
  <si>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</si>
  <si>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</si>
  <si>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</si>
  <si>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</si>
  <si>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</si>
  <si>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</si>
  <si>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</si>
  <si>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</si>
  <si>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</si>
  <si>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</si>
  <si>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</si>
  <si>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</si>
  <si>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</si>
  <si>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</si>
  <si>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</si>
  <si>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</si>
  <si>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</si>
  <si>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</si>
  <si>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</si>
  <si>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</si>
  <si>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</si>
  <si>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</si>
  <si>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</si>
  <si>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</si>
  <si>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</si>
  <si>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</si>
  <si>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</si>
  <si>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</si>
  <si>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</si>
  <si>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</si>
  <si>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</si>
  <si>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</si>
  <si>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</si>
  <si>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</si>
  <si>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</si>
  <si>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</si>
  <si>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</si>
  <si>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</si>
  <si>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</si>
  <si>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</si>
  <si>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</si>
  <si>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</si>
  <si>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</si>
  <si>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</si>
  <si>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</si>
  <si>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</si>
  <si>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</si>
  <si>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</si>
  <si>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</si>
  <si>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</si>
  <si>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</si>
  <si>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</si>
  <si>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</si>
  <si>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</si>
  <si>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</si>
  <si>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</si>
  <si>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</si>
  <si>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</si>
  <si>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</si>
  <si>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</si>
  <si>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</si>
  <si>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</si>
  <si>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</si>
  <si>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</si>
  <si>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</si>
  <si>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</si>
  <si>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</si>
  <si>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</si>
  <si>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</si>
  <si>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</si>
  <si>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</si>
  <si>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</si>
  <si>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</si>
  <si>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</si>
  <si>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</si>
  <si>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</si>
  <si>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</si>
  <si>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</si>
  <si>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</si>
  <si>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</si>
  <si>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</si>
  <si>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</si>
  <si>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</si>
  <si>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</si>
  <si>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</si>
  <si>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</si>
  <si>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</si>
  <si>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</si>
  <si>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</si>
  <si>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</si>
  <si>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</si>
  <si>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</si>
  <si>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</si>
  <si>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</si>
  <si>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</si>
  <si>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</si>
  <si>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</si>
  <si>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</si>
  <si>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</si>
  <si>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</si>
  <si>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</si>
  <si>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</si>
  <si>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</si>
  <si>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</si>
  <si>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</si>
  <si>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</si>
  <si>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</si>
  <si>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</si>
  <si>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</si>
  <si>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</si>
  <si>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</si>
  <si>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</si>
  <si>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</si>
  <si>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</si>
  <si>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</si>
  <si>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</si>
  <si>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</si>
  <si>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</si>
  <si>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</si>
  <si>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</si>
  <si>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</si>
  <si>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</si>
  <si>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</si>
  <si>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</si>
  <si>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</si>
  <si>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</si>
  <si>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</si>
  <si>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</si>
  <si>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</si>
  <si>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</si>
  <si>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</si>
  <si>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</si>
  <si>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</si>
  <si>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</si>
  <si>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</si>
  <si>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</si>
  <si>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</si>
  <si>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</si>
  <si>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</si>
  <si>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</si>
  <si>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</si>
  <si>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</si>
  <si>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</si>
  <si>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</si>
  <si>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</si>
  <si>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</si>
  <si>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</si>
  <si>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</si>
  <si>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</si>
  <si>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</si>
  <si>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</si>
  <si>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</si>
  <si>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</si>
  <si>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</si>
  <si>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</si>
  <si>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</si>
  <si>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</si>
  <si>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</si>
  <si>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</si>
  <si>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</si>
  <si>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</si>
  <si>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</si>
  <si>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</si>
  <si>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</si>
  <si>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</si>
  <si>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</si>
  <si>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</si>
  <si>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</si>
  <si>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</si>
  <si>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</si>
  <si>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</si>
  <si>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</si>
  <si>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</si>
  <si>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</si>
  <si>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</si>
  <si>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</si>
  <si>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</si>
  <si>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</si>
  <si>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</si>
  <si>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</si>
  <si>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</si>
  <si>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</si>
  <si>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</si>
  <si>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</si>
  <si>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</si>
  <si>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</si>
  <si>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</si>
  <si>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</si>
  <si>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</si>
  <si>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</si>
  <si>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</si>
  <si>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</si>
  <si>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</si>
  <si>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</si>
  <si>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</si>
  <si>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</si>
  <si>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</si>
  <si>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</si>
  <si>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</si>
  <si>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</si>
  <si>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</si>
  <si>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</si>
  <si>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</si>
  <si>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</si>
  <si>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</si>
  <si>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</si>
  <si>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</si>
  <si>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</si>
  <si>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</si>
  <si>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</si>
  <si>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</si>
  <si>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</si>
  <si>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</si>
  <si>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</si>
  <si>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</si>
  <si>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</si>
  <si>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</si>
  <si>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</si>
  <si>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</si>
  <si>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</si>
  <si>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</si>
  <si>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</si>
  <si>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</si>
  <si>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</si>
  <si>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</si>
  <si>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</si>
  <si>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</si>
  <si>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</si>
  <si>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</si>
  <si>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</si>
  <si>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</si>
  <si>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</si>
  <si>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</si>
  <si>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</si>
  <si>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</si>
  <si>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</si>
  <si>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</si>
  <si>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</si>
  <si>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</si>
  <si>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</si>
  <si>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</si>
  <si>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</si>
  <si>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</si>
  <si>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</si>
  <si>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</si>
  <si>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</si>
  <si>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</si>
  <si>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</si>
  <si>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</si>
  <si>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</si>
  <si>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</si>
  <si>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</si>
  <si>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</si>
  <si>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</si>
  <si>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</si>
  <si>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</si>
  <si>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</si>
  <si>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</si>
  <si>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</si>
  <si>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</si>
  <si>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</si>
  <si>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</si>
  <si>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</si>
  <si>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</si>
  <si>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</si>
  <si>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</si>
  <si>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</si>
  <si>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</si>
  <si>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</si>
  <si>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</si>
  <si>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</si>
  <si>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</si>
  <si>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</si>
  <si>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</si>
  <si>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</si>
  <si>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</si>
  <si>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</si>
  <si>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</si>
  <si>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</si>
  <si>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</si>
  <si>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</si>
  <si>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</si>
  <si>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</si>
  <si>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</si>
  <si>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</si>
  <si>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</si>
  <si>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</si>
  <si>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</si>
  <si>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</si>
  <si>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</si>
  <si>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</si>
  <si>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</si>
  <si>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</si>
  <si>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</si>
  <si>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</si>
  <si>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</si>
  <si>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</si>
  <si>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</si>
  <si>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</si>
  <si>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</si>
  <si>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</si>
  <si>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</si>
  <si>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</si>
  <si>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</si>
  <si>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</si>
  <si>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</si>
  <si>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</si>
  <si>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</si>
  <si>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</si>
  <si>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</si>
  <si>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</si>
  <si>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</si>
  <si>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</si>
  <si>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</si>
  <si>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</si>
  <si>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</si>
  <si>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</si>
  <si>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</si>
  <si>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</si>
  <si>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</si>
  <si>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</si>
  <si>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</si>
  <si>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</si>
  <si>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</si>
  <si>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</si>
  <si>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</si>
  <si>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</si>
  <si>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</si>
  <si>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</si>
  <si>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</si>
  <si>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</si>
  <si>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</si>
  <si>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</si>
  <si>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</si>
  <si>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</si>
  <si>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</si>
  <si>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</si>
  <si>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</si>
  <si>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</si>
  <si>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</si>
  <si>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</si>
  <si>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</si>
  <si>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</si>
  <si>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</si>
  <si>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</si>
  <si>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</si>
  <si>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</si>
  <si>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</si>
  <si>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</si>
  <si>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</si>
  <si>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</si>
  <si>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</si>
  <si>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</si>
  <si>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</si>
  <si>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</si>
  <si>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</si>
  <si>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</si>
  <si>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</si>
  <si>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</si>
  <si>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</si>
  <si>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</si>
  <si>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</si>
  <si>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</si>
  <si>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</si>
  <si>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</si>
  <si>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</si>
  <si>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</si>
  <si>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</si>
  <si>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</si>
  <si>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</si>
  <si>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</si>
  <si>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</si>
  <si>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</si>
  <si>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</si>
  <si>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</si>
  <si>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</si>
  <si>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</si>
  <si>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</si>
  <si>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</si>
  <si>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</si>
  <si>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</si>
  <si>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</si>
  <si>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</si>
  <si>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</si>
  <si>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</si>
  <si>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</si>
  <si>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</si>
  <si>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</si>
  <si>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</si>
  <si>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</si>
  <si>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</si>
  <si>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</si>
  <si>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</si>
  <si>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</si>
  <si>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</si>
  <si>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</si>
  <si>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</si>
  <si>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</si>
  <si>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</si>
  <si>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</si>
  <si>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</si>
  <si>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</si>
  <si>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</si>
  <si>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</si>
  <si>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</si>
  <si>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</si>
  <si>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</si>
  <si>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</si>
  <si>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</si>
  <si>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</si>
  <si>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</si>
  <si>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</si>
  <si>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</si>
  <si>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</si>
  <si>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</si>
  <si>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</si>
  <si>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</si>
  <si>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</si>
  <si>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</si>
  <si>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</si>
  <si>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</si>
  <si>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</si>
  <si>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</si>
  <si>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</si>
  <si>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</si>
  <si>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</si>
  <si>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</si>
  <si>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</si>
  <si>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</si>
  <si>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</si>
  <si>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</si>
  <si>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</si>
  <si>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</si>
  <si>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</si>
  <si>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</si>
  <si>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</si>
  <si>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</si>
  <si>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</si>
  <si>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</si>
  <si>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</si>
  <si>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</si>
  <si>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</si>
  <si>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</si>
  <si>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</si>
  <si>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</si>
  <si>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</si>
  <si>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</si>
  <si>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</si>
  <si>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</si>
  <si>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</si>
  <si>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</si>
  <si>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</si>
  <si>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</si>
  <si>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</si>
  <si>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</si>
  <si>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</si>
  <si>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</si>
  <si>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</si>
  <si>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</si>
  <si>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</si>
  <si>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</si>
  <si>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</si>
  <si>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</si>
  <si>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</si>
  <si>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</si>
  <si>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</si>
  <si>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</si>
  <si>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</si>
  <si>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</si>
  <si>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</si>
  <si>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</si>
  <si>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</si>
  <si>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</si>
  <si>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</si>
  <si>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</si>
  <si>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</si>
  <si>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</si>
  <si>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</si>
  <si>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</si>
  <si>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</si>
  <si>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</si>
  <si>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</si>
  <si>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</si>
  <si>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</si>
  <si>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</si>
  <si>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</si>
  <si>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</si>
  <si>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</si>
  <si>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</si>
  <si>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</si>
  <si>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</si>
  <si>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</si>
  <si>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</si>
  <si>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</si>
  <si>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</si>
  <si>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</si>
  <si>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</si>
  <si>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</si>
  <si>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</si>
  <si>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</si>
  <si>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</si>
  <si>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</si>
  <si>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</si>
  <si>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</si>
  <si>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</si>
  <si>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</si>
  <si>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</si>
  <si>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</si>
  <si>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</si>
  <si>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</si>
  <si>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</si>
  <si>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</si>
  <si>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</si>
  <si>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</si>
  <si>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</si>
  <si>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</si>
  <si>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</si>
  <si>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</si>
  <si>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</si>
  <si>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</si>
  <si>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</si>
  <si>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</si>
  <si>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</si>
  <si>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</si>
  <si>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</si>
  <si>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</si>
  <si>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</si>
  <si>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</si>
  <si>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</si>
  <si>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</si>
  <si>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</si>
  <si>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</si>
  <si>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</si>
  <si>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</si>
  <si>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</si>
  <si>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</si>
  <si>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</si>
  <si>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</si>
  <si>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</si>
  <si>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</si>
  <si>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</si>
  <si>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</si>
  <si>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</si>
  <si>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</si>
  <si>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</si>
  <si>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</si>
  <si>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</si>
  <si>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</si>
  <si>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</si>
  <si>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</si>
  <si>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</si>
  <si>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</si>
  <si>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</si>
  <si>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</si>
  <si>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</si>
  <si>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</si>
  <si>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</si>
  <si>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</si>
  <si>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</si>
  <si>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</si>
  <si>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</si>
  <si>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</si>
  <si>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</si>
  <si>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</si>
  <si>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</si>
  <si>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</si>
  <si>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</si>
  <si>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</si>
  <si>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</si>
  <si>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</si>
  <si>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</si>
  <si>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</si>
  <si>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</si>
  <si>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</si>
  <si>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</si>
  <si>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</si>
  <si>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</si>
  <si>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</si>
  <si>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</si>
  <si>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</si>
  <si>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</si>
  <si>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</si>
  <si>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</si>
  <si>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</si>
  <si>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</si>
  <si>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</si>
  <si>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</si>
  <si>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</si>
  <si>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</si>
  <si>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</si>
  <si>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</si>
  <si>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</si>
  <si>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</si>
  <si>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</si>
  <si>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</si>
  <si>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</si>
  <si>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</si>
  <si>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</si>
  <si>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</si>
  <si>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</si>
  <si>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</si>
  <si>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</si>
  <si>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</si>
  <si>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</si>
  <si>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</si>
  <si>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</si>
  <si>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</si>
  <si>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</si>
  <si>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</si>
  <si>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</si>
  <si>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</si>
  <si>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</si>
  <si>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</si>
  <si>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</si>
  <si>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</si>
  <si>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</si>
  <si>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</si>
  <si>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</si>
  <si>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</si>
  <si>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</si>
  <si>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</si>
  <si>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</si>
  <si>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</si>
  <si>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</si>
  <si>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</si>
  <si>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</si>
  <si>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</si>
  <si>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</si>
  <si>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</si>
  <si>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</si>
  <si>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</si>
  <si>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</si>
  <si>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</si>
  <si>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</si>
  <si>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</si>
  <si>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</si>
  <si>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</si>
  <si>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</si>
  <si>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</si>
  <si>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</si>
  <si>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</si>
  <si>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</si>
  <si>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</si>
  <si>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</si>
  <si>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</si>
  <si>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</si>
  <si>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</si>
  <si>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</si>
  <si>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</si>
  <si>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</si>
  <si>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</si>
  <si>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</si>
  <si>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</si>
  <si>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</si>
  <si>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</si>
  <si>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</si>
  <si>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</si>
  <si>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</si>
  <si>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</si>
  <si>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</si>
  <si>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</si>
  <si>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</si>
  <si>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</si>
  <si>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</si>
  <si>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</si>
  <si>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</si>
  <si>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</si>
  <si>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</si>
  <si>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</si>
  <si>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</si>
  <si>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</si>
  <si>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</si>
  <si>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</si>
  <si>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</si>
  <si>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</si>
  <si>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</si>
  <si>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</si>
  <si>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</si>
  <si>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</si>
  <si>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</si>
  <si>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</si>
  <si>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</si>
  <si>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</si>
  <si>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</si>
  <si>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</si>
  <si>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</si>
  <si>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</si>
  <si>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</si>
  <si>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</si>
  <si>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</si>
  <si>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</si>
  <si>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</si>
  <si>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</si>
  <si>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</si>
  <si>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</si>
  <si>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</si>
  <si>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</si>
  <si>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</si>
  <si>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</si>
  <si>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</si>
  <si>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</si>
  <si>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</si>
  <si>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</si>
  <si>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</si>
  <si>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</si>
  <si>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</si>
  <si>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</si>
  <si>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</si>
  <si>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</si>
  <si>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</si>
  <si>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</si>
  <si>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</si>
  <si>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</si>
  <si>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</si>
  <si>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</si>
  <si>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</si>
  <si>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</si>
  <si>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</si>
  <si>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</si>
  <si>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</si>
  <si>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</si>
  <si>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</si>
  <si>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</si>
  <si>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</si>
  <si>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</si>
  <si>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</si>
  <si>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</si>
  <si>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</si>
  <si>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</si>
  <si>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</si>
  <si>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</si>
  <si>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</si>
  <si>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</si>
  <si>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</si>
  <si>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</si>
  <si>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</si>
  <si>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</si>
  <si>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</si>
  <si>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</si>
  <si>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</si>
  <si>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</si>
  <si>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</si>
  <si>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</si>
  <si>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</si>
  <si>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</si>
  <si>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</si>
  <si>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</si>
  <si>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</si>
  <si>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</si>
  <si>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</si>
  <si>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</si>
  <si>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</si>
  <si>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</si>
  <si>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</si>
  <si>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</si>
  <si>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</si>
  <si>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</si>
  <si>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</si>
  <si>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</si>
  <si>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</si>
  <si>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</si>
  <si>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</si>
  <si>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</si>
  <si>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</si>
  <si>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</si>
  <si>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</si>
  <si>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</si>
  <si>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</si>
  <si>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</si>
  <si>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</si>
  <si>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</si>
  <si>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</si>
  <si>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</si>
  <si>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</si>
  <si>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</si>
  <si>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</si>
  <si>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</si>
  <si>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</si>
  <si>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</si>
  <si>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</si>
  <si>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</si>
  <si>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</si>
  <si>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</si>
  <si>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</si>
  <si>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</si>
  <si>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</si>
  <si>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</si>
  <si>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</si>
  <si>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</si>
  <si>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</si>
  <si>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</si>
  <si>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</si>
  <si>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</si>
  <si>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</si>
  <si>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</si>
  <si>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</si>
  <si>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</si>
  <si>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</si>
  <si>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</si>
  <si>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</si>
  <si>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</si>
  <si>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</si>
  <si>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</si>
  <si>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</si>
  <si>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</si>
  <si>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</si>
  <si>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</si>
  <si>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</si>
  <si>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</si>
  <si>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</si>
  <si>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</si>
  <si>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</si>
  <si>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</si>
  <si>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</si>
  <si>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</si>
  <si>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</si>
  <si>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</si>
  <si>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</si>
  <si>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</si>
  <si>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</si>
  <si>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</si>
  <si>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</si>
  <si>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</si>
  <si>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</si>
  <si>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</si>
  <si>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</si>
  <si>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</si>
  <si>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</si>
  <si>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</si>
  <si>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</si>
  <si>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</si>
  <si>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</si>
  <si>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</si>
  <si>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</si>
  <si>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</si>
  <si>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</si>
  <si>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</si>
  <si>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</si>
  <si>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</si>
  <si>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</si>
  <si>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</si>
  <si>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</si>
  <si>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</si>
  <si>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</si>
  <si>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</si>
  <si>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</si>
  <si>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</si>
  <si>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</si>
  <si>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</si>
  <si>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</si>
  <si>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</si>
  <si>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</si>
  <si>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</si>
  <si>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</si>
  <si>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</si>
  <si>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</si>
  <si>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</si>
  <si>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</si>
  <si>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</si>
  <si>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</si>
  <si>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</si>
  <si>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</si>
  <si>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</si>
  <si>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</si>
  <si>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</si>
  <si>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</si>
  <si>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</si>
  <si>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</si>
  <si>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</si>
  <si>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</si>
  <si>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</si>
  <si>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</si>
  <si>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</si>
  <si>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</si>
  <si>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</si>
  <si>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</si>
  <si>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</si>
  <si>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</si>
  <si>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</si>
  <si>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</si>
  <si>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</si>
  <si>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</si>
  <si>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</si>
  <si>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</si>
  <si>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</si>
  <si>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</si>
  <si>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</si>
  <si>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</si>
  <si>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</si>
  <si>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</si>
  <si>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</si>
  <si>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</si>
  <si>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</si>
  <si>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</si>
  <si>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</si>
  <si>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</si>
  <si>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</si>
  <si>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</si>
  <si>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</si>
  <si>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</si>
  <si>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</si>
  <si>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</si>
  <si>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</si>
  <si>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</si>
  <si>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</si>
  <si>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</si>
  <si>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</si>
  <si>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</si>
  <si>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</si>
  <si>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</si>
  <si>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</si>
  <si>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</si>
  <si>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</si>
  <si>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</si>
  <si>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</si>
  <si>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</si>
  <si>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</si>
  <si>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</si>
  <si>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</si>
  <si>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</si>
  <si>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</si>
  <si>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</si>
  <si>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</si>
  <si>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</si>
  <si>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</si>
  <si>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</si>
  <si>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</si>
  <si>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</si>
  <si>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</si>
  <si>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</si>
  <si>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</si>
  <si>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</si>
  <si>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</si>
  <si>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</si>
  <si>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</si>
  <si>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</si>
  <si>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</si>
  <si>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</si>
  <si>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</si>
  <si>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</si>
  <si>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</si>
  <si>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</si>
  <si>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</si>
  <si>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</si>
  <si>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</si>
  <si>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</si>
  <si>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</si>
  <si>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</si>
  <si>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</si>
  <si>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</si>
  <si>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</si>
  <si>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</si>
  <si>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</si>
  <si>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</si>
  <si>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</si>
  <si>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</si>
  <si>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</si>
  <si>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</si>
  <si>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</si>
  <si>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</si>
  <si>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</si>
  <si>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</si>
  <si>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</si>
  <si>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</si>
  <si>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</si>
  <si>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</si>
  <si>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</si>
  <si>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</si>
  <si>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</si>
  <si>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</si>
  <si>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</si>
  <si>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</si>
  <si>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</si>
  <si>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</si>
  <si>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</si>
  <si>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</si>
  <si>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</si>
  <si>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</si>
  <si>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</si>
  <si>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</si>
  <si>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</si>
  <si>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</si>
  <si>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</si>
  <si>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</si>
  <si>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</si>
  <si>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</si>
  <si>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</si>
  <si>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</si>
  <si>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</si>
  <si>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</si>
  <si>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</si>
  <si>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</si>
  <si>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</si>
  <si>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</si>
  <si>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</si>
  <si>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</si>
  <si>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</si>
  <si>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</si>
  <si>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</si>
  <si>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</si>
  <si>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</si>
  <si>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</si>
  <si>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</si>
  <si>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</si>
  <si>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</si>
  <si>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</si>
  <si>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</si>
  <si>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</si>
  <si>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</si>
  <si>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</si>
  <si>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</si>
  <si>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</si>
  <si>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</si>
  <si>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</si>
  <si>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</si>
  <si>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</si>
  <si>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</si>
  <si>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</si>
  <si>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</si>
  <si>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</si>
  <si>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</si>
  <si>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</si>
  <si>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</si>
  <si>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</si>
  <si>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</si>
  <si>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</si>
  <si>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</si>
  <si>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</si>
  <si>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</si>
  <si>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</si>
  <si>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</si>
  <si>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</si>
  <si>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</si>
  <si>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</si>
  <si>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</si>
  <si>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</si>
  <si>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</si>
  <si>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</si>
  <si>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</si>
  <si>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</si>
  <si>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</si>
  <si>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</si>
  <si>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</si>
  <si>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</si>
  <si>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</si>
  <si>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</si>
  <si>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</si>
  <si>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</si>
  <si>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</si>
  <si>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</si>
  <si>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</si>
  <si>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</si>
  <si>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</si>
  <si>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</si>
  <si>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</si>
  <si>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</si>
  <si>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</si>
  <si>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</si>
  <si>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</si>
  <si>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</si>
  <si>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</si>
  <si>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</si>
  <si>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</si>
  <si>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</si>
  <si>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</si>
  <si>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</si>
  <si>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</si>
  <si>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</si>
  <si>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</si>
  <si>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</si>
  <si>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</si>
  <si>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</si>
  <si>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</si>
  <si>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</si>
  <si>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</si>
  <si>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</si>
  <si>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</si>
  <si>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</si>
  <si>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</si>
  <si>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</si>
  <si>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</si>
  <si>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</si>
  <si>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</si>
  <si>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</si>
  <si>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</si>
  <si>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</si>
  <si>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</si>
  <si>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</si>
  <si>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</si>
  <si>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</si>
  <si>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</si>
  <si>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</si>
  <si>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</si>
  <si>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</si>
  <si>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</si>
  <si>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</si>
  <si>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</si>
  <si>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</si>
  <si>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</si>
  <si>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</si>
  <si>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</si>
  <si>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</si>
  <si>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</si>
  <si>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</si>
  <si>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</si>
  <si>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</si>
  <si>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</si>
  <si>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</si>
  <si>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</si>
  <si>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</si>
  <si>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</si>
  <si>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</si>
  <si>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</si>
  <si>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</si>
  <si>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</si>
  <si>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</si>
  <si>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</si>
  <si>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</si>
  <si>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</si>
  <si>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</si>
  <si>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</si>
  <si>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</si>
  <si>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</si>
  <si>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</si>
  <si>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</si>
  <si>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</si>
  <si>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</si>
  <si>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</si>
  <si>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</si>
  <si>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</si>
  <si>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</si>
  <si>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</si>
  <si>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</si>
  <si>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</si>
  <si>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</si>
  <si>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</si>
  <si>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</si>
  <si>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</si>
  <si>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</si>
  <si>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</si>
  <si>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</si>
  <si>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</si>
  <si>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</si>
  <si>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</si>
  <si>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</si>
  <si>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</si>
  <si>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</si>
  <si>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</si>
  <si>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</si>
  <si>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</si>
  <si>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</si>
  <si>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</si>
  <si>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</si>
  <si>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</si>
  <si>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</si>
  <si>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</si>
  <si>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</si>
  <si>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</si>
  <si>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</si>
  <si>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</si>
  <si>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</si>
  <si>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</si>
  <si>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</si>
  <si>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</si>
  <si>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</si>
  <si>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</si>
  <si>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</si>
  <si>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</si>
  <si>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</si>
  <si>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</si>
  <si>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</si>
  <si>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</si>
  <si>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</si>
  <si>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</si>
  <si>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</si>
  <si>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</si>
  <si>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</si>
  <si>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</si>
  <si>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</si>
  <si>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</si>
  <si>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</si>
  <si>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</si>
  <si>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</si>
  <si>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</si>
  <si>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</si>
  <si>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</si>
  <si>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</si>
  <si>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</si>
  <si>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</si>
  <si>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</si>
  <si>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</si>
  <si>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</si>
  <si>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</si>
  <si>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</si>
  <si>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</si>
  <si>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</si>
  <si>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</si>
  <si>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</si>
  <si>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</si>
  <si>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</si>
  <si>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</si>
  <si>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</si>
  <si>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</si>
  <si>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</si>
  <si>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</si>
  <si>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</si>
  <si>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</si>
  <si>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</si>
  <si>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</si>
  <si>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</si>
  <si>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</si>
  <si>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</si>
  <si>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</si>
  <si>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</si>
  <si>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</si>
  <si>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</si>
  <si>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</si>
  <si>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</si>
  <si>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</si>
  <si>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</si>
  <si>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</si>
  <si>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</si>
  <si>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</si>
  <si>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</si>
  <si>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</si>
  <si>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</si>
  <si>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</si>
  <si>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</si>
  <si>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</si>
  <si>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</si>
  <si>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</si>
  <si>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</si>
  <si>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</si>
  <si>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</si>
  <si>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</si>
  <si>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</si>
  <si>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</si>
  <si>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</si>
  <si>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</si>
  <si>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</si>
  <si>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</si>
  <si>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</si>
  <si>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</si>
  <si>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</si>
  <si>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</si>
  <si>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</si>
  <si>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</si>
  <si>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</si>
  <si>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</si>
  <si>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</si>
  <si>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</si>
  <si>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</si>
  <si>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</si>
  <si>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</si>
  <si>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</si>
  <si>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</si>
  <si>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</si>
  <si>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</si>
  <si>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</si>
  <si>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</si>
  <si>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</si>
  <si>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</si>
  <si>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</si>
  <si>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</si>
  <si>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</si>
  <si>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</si>
  <si>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</si>
  <si>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</si>
  <si>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</si>
  <si>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</si>
  <si>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</si>
  <si>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</si>
  <si>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</si>
  <si>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</si>
  <si>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</si>
  <si>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</si>
  <si>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</si>
  <si>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</si>
  <si>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</si>
  <si>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</si>
  <si>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</si>
  <si>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</si>
  <si>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</si>
  <si>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</si>
  <si>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</si>
  <si>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</si>
  <si>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</si>
  <si>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</si>
  <si>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</si>
  <si>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</si>
  <si>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</si>
  <si>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</si>
  <si>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</si>
  <si>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</si>
  <si>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</si>
  <si>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</si>
  <si>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</si>
  <si>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</si>
  <si>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</si>
  <si>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</si>
  <si>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</si>
  <si>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</si>
  <si>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</si>
  <si>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</si>
  <si>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</si>
  <si>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</si>
  <si>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</si>
  <si>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</si>
  <si>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</si>
  <si>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</si>
  <si>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</si>
  <si>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</si>
  <si>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</si>
  <si>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</si>
  <si>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</si>
  <si>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</si>
  <si>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</si>
  <si>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</si>
  <si>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</si>
  <si>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</si>
  <si>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</si>
  <si>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</si>
  <si>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</si>
  <si>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</si>
  <si>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</si>
  <si>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</si>
  <si>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</si>
  <si>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</si>
  <si>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</si>
  <si>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</si>
  <si>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</si>
  <si>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</si>
  <si>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</si>
  <si>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</si>
  <si>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</si>
  <si>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</si>
  <si>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</si>
  <si>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</si>
  <si>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</si>
  <si>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</si>
  <si>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</si>
  <si>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</si>
  <si>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</si>
  <si>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</si>
  <si>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</si>
  <si>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</si>
  <si>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</si>
  <si>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</si>
  <si>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</si>
  <si>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</si>
  <si>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</si>
  <si>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</si>
  <si>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</si>
  <si>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</si>
  <si>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</si>
  <si>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</si>
  <si>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</si>
  <si>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</si>
  <si>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</si>
  <si>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</si>
  <si>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</si>
  <si>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</si>
  <si>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</si>
  <si>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</si>
  <si>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</si>
  <si>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</si>
  <si>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</si>
  <si>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</si>
  <si>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</si>
  <si>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</si>
  <si>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</si>
  <si>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</si>
  <si>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</si>
  <si>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</si>
  <si>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</si>
  <si>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</si>
  <si>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</si>
  <si>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</si>
  <si>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</si>
  <si>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</si>
  <si>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</si>
  <si>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</si>
  <si>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</si>
  <si>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</si>
  <si>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</si>
  <si>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</si>
  <si>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</si>
  <si>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</si>
  <si>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</si>
  <si>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</si>
  <si>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</si>
  <si>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</si>
  <si>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</si>
  <si>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</si>
  <si>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</si>
  <si>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</si>
  <si>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</si>
  <si>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</si>
  <si>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</si>
  <si>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</si>
  <si>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</si>
  <si>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</si>
  <si>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</si>
  <si>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</si>
  <si>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</si>
  <si>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</si>
  <si>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</si>
  <si>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</si>
  <si>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</si>
  <si>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</si>
  <si>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</si>
  <si>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</si>
  <si>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</si>
  <si>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</si>
  <si>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</si>
  <si>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</si>
  <si>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</si>
  <si>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</si>
  <si>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</si>
  <si>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</si>
  <si>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</si>
  <si>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</si>
  <si>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</si>
  <si>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</si>
  <si>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</si>
  <si>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</si>
  <si>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</si>
  <si>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</si>
  <si>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</si>
  <si>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</si>
  <si>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</si>
  <si>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</si>
  <si>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</si>
  <si>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</si>
  <si>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</si>
  <si>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</si>
  <si>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</si>
  <si>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</si>
  <si>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</si>
  <si>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</si>
  <si>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</si>
  <si>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</si>
  <si>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</si>
  <si>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</si>
  <si>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</si>
  <si>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</si>
  <si>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</si>
  <si>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</si>
  <si>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</si>
  <si>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</si>
  <si>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</si>
  <si>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</si>
  <si>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</si>
  <si>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</si>
  <si>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</si>
  <si>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</si>
  <si>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</si>
  <si>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</si>
  <si>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</si>
  <si>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</si>
  <si>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</si>
  <si>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</si>
  <si>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</si>
  <si>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</si>
  <si>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</si>
  <si>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</si>
  <si>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</si>
  <si>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</si>
  <si>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</si>
  <si>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</si>
  <si>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</si>
  <si>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</si>
  <si>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</si>
  <si>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</si>
  <si>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</si>
  <si>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</si>
  <si>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</si>
  <si>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</si>
  <si>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</si>
  <si>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</si>
  <si>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</si>
  <si>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</si>
  <si>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</si>
  <si>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</si>
  <si>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</si>
  <si>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</si>
  <si>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</si>
  <si>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</si>
  <si>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</si>
  <si>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</si>
  <si>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</si>
  <si>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</si>
  <si>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</si>
  <si>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</si>
  <si>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</si>
  <si>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</si>
  <si>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</si>
  <si>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</si>
  <si>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</si>
  <si>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</si>
  <si>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</si>
  <si>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</si>
  <si>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</si>
  <si>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</si>
  <si>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</si>
  <si>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</si>
  <si>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</si>
  <si>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</si>
  <si>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</si>
  <si>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</si>
  <si>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</si>
  <si>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</si>
  <si>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</si>
  <si>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</si>
  <si>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</si>
  <si>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</si>
  <si>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</si>
  <si>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</si>
  <si>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</si>
  <si>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</si>
  <si>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</si>
  <si>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</si>
  <si>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</si>
  <si>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</si>
  <si>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</si>
  <si>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</si>
  <si>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</si>
  <si>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</si>
  <si>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</si>
  <si>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</si>
  <si>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</si>
  <si>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</si>
  <si>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</si>
  <si>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</si>
  <si>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</si>
  <si>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</si>
  <si>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</si>
  <si>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</si>
  <si>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</si>
  <si>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</si>
  <si>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</si>
  <si>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</si>
  <si>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</si>
  <si>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</si>
  <si>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</si>
  <si>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</si>
  <si>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</si>
  <si>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</si>
  <si>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</si>
  <si>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</si>
  <si>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</si>
  <si>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</si>
  <si>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</si>
  <si>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</si>
  <si>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</si>
  <si>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</si>
  <si>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</si>
  <si>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</si>
  <si>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</si>
  <si>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</si>
  <si>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</si>
  <si>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</si>
  <si>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</si>
  <si>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</si>
  <si>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</si>
  <si>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</si>
  <si>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</si>
  <si>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</si>
  <si>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</si>
  <si>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</si>
  <si>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</si>
  <si>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</si>
  <si>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</si>
  <si>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</si>
  <si>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</si>
  <si>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</si>
  <si>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</si>
  <si>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</si>
  <si>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</si>
  <si>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</si>
  <si>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</si>
  <si>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</si>
  <si>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</si>
  <si>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</si>
  <si>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</si>
  <si>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</si>
  <si>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</si>
  <si>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</si>
  <si>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</si>
  <si>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</si>
  <si>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</si>
  <si>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</si>
  <si>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</si>
  <si>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</si>
  <si>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</si>
  <si>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</si>
  <si>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</si>
  <si>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</si>
  <si>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</si>
  <si>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</si>
  <si>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</si>
  <si>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</si>
  <si>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</si>
  <si>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</si>
  <si>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</si>
  <si>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</si>
  <si>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</si>
  <si>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</si>
  <si>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</si>
  <si>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</si>
  <si>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</si>
  <si>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</si>
  <si>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</si>
  <si>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</si>
  <si>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</si>
  <si>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</si>
  <si>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</si>
  <si>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</si>
  <si>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</si>
  <si>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</si>
  <si>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</si>
  <si>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</si>
  <si>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</si>
  <si>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</si>
  <si>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</si>
  <si>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</si>
  <si>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</si>
  <si>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</si>
  <si>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</si>
  <si>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</si>
  <si>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</si>
  <si>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</si>
  <si>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</si>
  <si>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</si>
  <si>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</si>
  <si>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</si>
  <si>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</si>
  <si>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</si>
  <si>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</si>
  <si>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</si>
  <si>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</si>
  <si>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</si>
  <si>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</si>
  <si>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</si>
  <si>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</si>
  <si>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</si>
  <si>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</si>
  <si>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</si>
  <si>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</si>
  <si>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</si>
  <si>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</si>
  <si>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</si>
  <si>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</si>
  <si>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</si>
  <si>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</si>
  <si>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</si>
  <si>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</si>
  <si>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</si>
  <si>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</si>
  <si>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</si>
  <si>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</si>
  <si>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</si>
  <si>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</si>
  <si>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</si>
  <si>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</si>
  <si>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</si>
  <si>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</si>
  <si>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</si>
  <si>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</si>
  <si>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</si>
  <si>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</si>
  <si>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</si>
  <si>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</si>
  <si>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</si>
  <si>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</si>
  <si>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</si>
  <si>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</si>
  <si>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</si>
  <si>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</si>
  <si>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</si>
  <si>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</si>
  <si>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</si>
  <si>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</si>
  <si>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</si>
  <si>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</si>
  <si>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</si>
  <si>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</si>
  <si>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</si>
  <si>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</si>
  <si>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</si>
  <si>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</si>
  <si>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</si>
  <si>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</si>
  <si>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</si>
  <si>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</si>
  <si>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</si>
  <si>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</si>
  <si>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</si>
  <si>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</si>
  <si>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</si>
  <si>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</si>
  <si>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</si>
  <si>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</si>
  <si>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</si>
  <si>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</si>
  <si>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</si>
  <si>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</si>
  <si>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</si>
  <si>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</si>
  <si>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</si>
  <si>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</si>
  <si>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</si>
  <si>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</si>
  <si>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</si>
  <si>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</si>
  <si>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</si>
  <si>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</si>
  <si>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</si>
  <si>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</si>
  <si>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</si>
  <si>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</si>
  <si>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</si>
  <si>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</si>
  <si>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</si>
  <si>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</si>
  <si>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</si>
  <si>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</si>
  <si>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</si>
  <si>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</si>
  <si>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</si>
  <si>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</si>
  <si>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</si>
  <si>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</si>
  <si>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</si>
  <si>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</si>
  <si>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</si>
  <si>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</si>
  <si>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</si>
  <si>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</si>
  <si>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</si>
  <si>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</si>
  <si>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</si>
  <si>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</si>
  <si>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</si>
  <si>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</si>
  <si>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</si>
  <si>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</si>
  <si>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</si>
  <si>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</si>
  <si>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</si>
  <si>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</si>
  <si>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</si>
  <si>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</si>
  <si>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</si>
  <si>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</si>
  <si>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</si>
  <si>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</si>
  <si>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</si>
  <si>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</si>
  <si>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</si>
  <si>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</si>
  <si>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</si>
  <si>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</si>
  <si>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</si>
  <si>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</si>
  <si>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</si>
  <si>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</si>
  <si>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</si>
  <si>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</si>
  <si>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</si>
  <si>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</si>
  <si>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</si>
  <si>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</si>
  <si>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</si>
  <si>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</si>
  <si>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</si>
  <si>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</si>
  <si>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</si>
  <si>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</si>
  <si>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</si>
  <si>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</si>
  <si>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</si>
  <si>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</si>
  <si>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</si>
  <si>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</si>
  <si>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</si>
  <si>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</si>
  <si>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</si>
  <si>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</si>
  <si>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</si>
  <si>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</si>
  <si>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</si>
  <si>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</si>
  <si>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</si>
  <si>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</si>
  <si>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</si>
  <si>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</si>
  <si>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</si>
  <si>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</si>
  <si>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</si>
  <si>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</si>
  <si>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</si>
  <si>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</si>
  <si>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</si>
  <si>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</si>
  <si>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</si>
  <si>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</si>
  <si>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</si>
  <si>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</si>
  <si>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</si>
  <si>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</si>
  <si>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</si>
  <si>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</si>
  <si>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</si>
  <si>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</si>
  <si>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</si>
  <si>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</si>
  <si>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</si>
  <si>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</si>
  <si>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</si>
  <si>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</si>
  <si>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</si>
  <si>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</si>
  <si>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</si>
  <si>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</si>
  <si>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</si>
  <si>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</si>
  <si>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</si>
  <si>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</si>
  <si>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</si>
  <si>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</si>
  <si>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</si>
  <si>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</si>
  <si>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</si>
  <si>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</si>
  <si>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</si>
  <si>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</si>
  <si>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</si>
  <si>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</si>
  <si>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</si>
  <si>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</si>
  <si>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</si>
  <si>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</si>
  <si>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</si>
  <si>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</si>
  <si>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</si>
  <si>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</si>
  <si>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</si>
  <si>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</si>
  <si>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</si>
  <si>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</si>
  <si>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</si>
  <si>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</si>
  <si>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</si>
  <si>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</si>
  <si>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</si>
  <si>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</si>
  <si>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</si>
  <si>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</si>
  <si>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</si>
  <si>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</si>
  <si>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</si>
  <si>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</si>
  <si>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</si>
  <si>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</si>
  <si>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</si>
  <si>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</si>
  <si>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</si>
  <si>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</si>
  <si>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</si>
  <si>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</si>
  <si>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</si>
  <si>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</si>
  <si>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</si>
  <si>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</si>
  <si>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</si>
  <si>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</si>
  <si>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</si>
  <si>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</si>
  <si>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</si>
  <si>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</si>
  <si>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</si>
  <si>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</si>
  <si>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</si>
  <si>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</si>
  <si>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</si>
  <si>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</si>
  <si>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</si>
  <si>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</si>
  <si>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</si>
  <si>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</si>
  <si>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</si>
  <si>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</si>
  <si>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</si>
  <si>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</si>
  <si>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</si>
  <si>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</si>
  <si>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</si>
  <si>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</si>
  <si>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</si>
  <si>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</si>
  <si>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</si>
  <si>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</si>
  <si>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</si>
  <si>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</si>
  <si>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</si>
  <si>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</si>
  <si>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</si>
  <si>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</si>
  <si>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</si>
  <si>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</si>
  <si>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</si>
  <si>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</si>
  <si>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</si>
  <si>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</si>
  <si>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</si>
  <si>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</si>
  <si>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</si>
  <si>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</si>
  <si>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</si>
  <si>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</si>
  <si>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</si>
  <si>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</si>
  <si>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</si>
  <si>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</si>
  <si>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</si>
  <si>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</si>
  <si>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</si>
  <si>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</si>
  <si>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</si>
  <si>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</si>
  <si>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</si>
  <si>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</si>
  <si>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</si>
  <si>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</si>
  <si>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</si>
  <si>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</si>
  <si>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</si>
  <si>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</si>
  <si>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</si>
  <si>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</si>
  <si>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</si>
  <si>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</si>
  <si>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</si>
  <si>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</si>
  <si>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</si>
  <si>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</si>
  <si>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</si>
  <si>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</si>
  <si>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</si>
  <si>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</si>
  <si>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</si>
  <si>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</si>
  <si>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</si>
  <si>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</si>
  <si>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</si>
  <si>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</si>
  <si>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</si>
  <si>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</si>
  <si>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</si>
  <si>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</si>
  <si>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</si>
  <si>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</si>
  <si>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</si>
  <si>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</si>
  <si>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</si>
  <si>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</si>
  <si>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</si>
  <si>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</si>
  <si>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</si>
  <si>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</si>
  <si>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</si>
  <si>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</si>
  <si>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</si>
  <si>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</si>
  <si>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</si>
  <si>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</si>
  <si>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</si>
  <si>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</si>
  <si>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</si>
  <si>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</si>
  <si>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</si>
  <si>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</si>
  <si>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</si>
  <si>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</si>
  <si>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</si>
  <si>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</si>
  <si>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</si>
  <si>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</si>
  <si>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</si>
  <si>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</si>
  <si>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</si>
  <si>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</si>
  <si>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</si>
  <si>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</si>
  <si>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</si>
  <si>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</si>
  <si>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</si>
  <si>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</si>
  <si>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</si>
  <si>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</si>
  <si>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</si>
  <si>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</si>
  <si>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</si>
  <si>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</si>
  <si>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</si>
  <si>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</si>
  <si>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</si>
  <si>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</si>
  <si>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</si>
  <si>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</si>
  <si>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</si>
  <si>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</si>
  <si>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</si>
  <si>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</si>
  <si>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</si>
  <si>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</si>
  <si>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</si>
  <si>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</si>
  <si>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</si>
  <si>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</si>
  <si>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</si>
  <si>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</si>
  <si>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</si>
  <si>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</si>
  <si>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</si>
  <si>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</si>
  <si>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</si>
  <si>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</si>
  <si>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</si>
  <si>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</si>
  <si>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</si>
  <si>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</si>
  <si>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</si>
  <si>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</si>
  <si>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</si>
  <si>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</si>
  <si>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</si>
  <si>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</si>
  <si>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</si>
  <si>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</si>
  <si>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</si>
  <si>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</si>
  <si>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</si>
  <si>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</si>
  <si>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</si>
  <si>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</si>
  <si>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</si>
  <si>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</si>
  <si>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</si>
  <si>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</si>
  <si>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</si>
  <si>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</si>
  <si>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</si>
  <si>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</si>
  <si>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</si>
  <si>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</si>
  <si>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</si>
  <si>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</si>
  <si>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</si>
  <si>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</si>
  <si>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</si>
  <si>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</si>
  <si>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</si>
  <si>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</si>
  <si>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</si>
  <si>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</si>
  <si>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</si>
  <si>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</si>
  <si>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</si>
  <si>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</si>
  <si>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</si>
  <si>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</si>
  <si>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</si>
  <si>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</si>
  <si>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</si>
  <si>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</si>
  <si>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</si>
  <si>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</si>
  <si>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</si>
  <si>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</si>
  <si>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</si>
  <si>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</si>
  <si>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</si>
  <si>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</si>
  <si>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</si>
  <si>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</si>
  <si>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</si>
  <si>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</si>
  <si>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</si>
  <si>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</si>
  <si>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</si>
  <si>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</si>
  <si>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</si>
  <si>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</si>
  <si>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</si>
  <si>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</si>
  <si>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</si>
  <si>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</si>
  <si>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</si>
  <si>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</si>
  <si>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</si>
  <si>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</si>
  <si>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</si>
  <si>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</si>
  <si>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</si>
  <si>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</si>
  <si>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</si>
  <si>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</si>
  <si>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</si>
  <si>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</si>
  <si>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</si>
  <si>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</si>
  <si>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</si>
  <si>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</si>
  <si>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</si>
  <si>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</si>
  <si>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</si>
  <si>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</si>
  <si>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</si>
  <si>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</si>
  <si>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</si>
  <si>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</si>
  <si>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</si>
  <si>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</si>
  <si>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</si>
  <si>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</si>
  <si>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</si>
  <si>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</si>
  <si>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</si>
  <si>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</si>
  <si>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</si>
  <si>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</si>
  <si>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</si>
  <si>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</si>
  <si>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</si>
  <si>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</si>
  <si>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</si>
  <si>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</si>
  <si>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</si>
  <si>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</si>
  <si>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</si>
  <si>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</si>
  <si>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</si>
  <si>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</si>
  <si>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</si>
  <si>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</si>
  <si>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</si>
  <si>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</si>
  <si>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</si>
  <si>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</si>
  <si>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</si>
  <si>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</si>
  <si>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</si>
  <si>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</si>
  <si>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</si>
  <si>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</si>
  <si>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</si>
  <si>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</si>
  <si>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</si>
  <si>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</si>
  <si>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</si>
  <si>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</si>
  <si>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</si>
  <si>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</si>
  <si>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</si>
  <si>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</si>
  <si>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</si>
  <si>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</si>
  <si>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</si>
  <si>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</si>
  <si>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</si>
  <si>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</si>
  <si>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</si>
  <si>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</si>
  <si>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</si>
  <si>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</si>
  <si>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</si>
  <si>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</si>
  <si>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</si>
  <si>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</si>
  <si>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</si>
  <si>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</si>
  <si>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</si>
  <si>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</si>
  <si>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</si>
  <si>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</si>
  <si>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</si>
  <si>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</si>
  <si>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</si>
  <si>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</si>
  <si>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</si>
  <si>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</si>
  <si>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</si>
  <si>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</si>
  <si>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</si>
  <si>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</si>
  <si>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</si>
  <si>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</si>
  <si>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</si>
  <si>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</si>
  <si>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</si>
  <si>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</si>
  <si>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</si>
  <si>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</si>
  <si>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</si>
  <si>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</si>
  <si>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</si>
  <si>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</si>
  <si>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</si>
  <si>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</si>
  <si>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</si>
  <si>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</si>
  <si>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</si>
  <si>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</si>
  <si>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</si>
  <si>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</si>
  <si>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</si>
  <si>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</si>
  <si>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</si>
  <si>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</si>
  <si>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</si>
  <si>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</si>
  <si>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</si>
  <si>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</si>
  <si>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</si>
  <si>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</si>
  <si>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</si>
  <si>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</si>
  <si>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</si>
  <si>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</si>
  <si>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</si>
  <si>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</si>
  <si>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</si>
  <si>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</si>
  <si>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</si>
  <si>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</si>
  <si>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</si>
  <si>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</si>
  <si>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</si>
  <si>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</si>
  <si>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</si>
  <si>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</si>
  <si>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</si>
  <si>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</si>
  <si>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</si>
  <si>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</si>
  <si>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</si>
  <si>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</si>
  <si>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</si>
  <si>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</si>
  <si>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</si>
  <si>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</si>
  <si>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</si>
  <si>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</si>
  <si>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</si>
  <si>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</si>
  <si>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</si>
  <si>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</si>
  <si>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</si>
  <si>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</si>
  <si>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</si>
  <si>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</si>
  <si>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</si>
  <si>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</si>
  <si>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</si>
  <si>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</si>
  <si>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</si>
  <si>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</si>
  <si>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</si>
  <si>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</si>
  <si>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</si>
  <si>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</si>
  <si>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</si>
  <si>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</si>
  <si>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</si>
  <si>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</si>
  <si>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</si>
  <si>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</si>
  <si>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</si>
  <si>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</si>
  <si>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</si>
  <si>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</si>
  <si>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</si>
  <si>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</si>
  <si>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</si>
  <si>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</si>
  <si>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</si>
  <si>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</si>
  <si>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</si>
  <si>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</si>
  <si>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</si>
  <si>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</si>
  <si>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</si>
  <si>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</si>
  <si>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</si>
  <si>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</si>
  <si>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</si>
  <si>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</si>
  <si>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</si>
  <si>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</si>
  <si>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</si>
  <si>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</si>
  <si>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</si>
  <si>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</si>
  <si>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</si>
  <si>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</si>
  <si>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</si>
  <si>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</si>
  <si>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</si>
  <si>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</si>
  <si>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</si>
  <si>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</si>
  <si>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</si>
  <si>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</si>
  <si>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</si>
  <si>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</si>
  <si>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</si>
  <si>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</si>
  <si>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</si>
  <si>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</si>
  <si>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</si>
  <si>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</si>
  <si>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</si>
  <si>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</si>
  <si>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</si>
  <si>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</si>
  <si>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</si>
  <si>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</si>
  <si>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</si>
  <si>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</si>
  <si>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</si>
  <si>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</si>
  <si>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</si>
  <si>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</si>
  <si>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</si>
  <si>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</si>
  <si>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</si>
  <si>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</si>
  <si>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</si>
  <si>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</si>
  <si>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</si>
  <si>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</si>
  <si>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</si>
  <si>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</si>
  <si>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</si>
  <si>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</si>
  <si>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</si>
  <si>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</si>
  <si>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</si>
  <si>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</si>
  <si>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</si>
  <si>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</si>
  <si>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</si>
  <si>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</si>
  <si>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</si>
  <si>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</si>
  <si>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</si>
  <si>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</si>
  <si>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</si>
  <si>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</si>
  <si>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</si>
  <si>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</si>
  <si>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</si>
  <si>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</si>
  <si>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</si>
  <si>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</si>
  <si>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</si>
  <si>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</si>
  <si>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</si>
  <si>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</si>
  <si>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</si>
  <si>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</si>
  <si>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</si>
  <si>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</si>
  <si>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</si>
  <si>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</si>
  <si>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</si>
  <si>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</si>
  <si>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</si>
  <si>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</si>
  <si>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</si>
  <si>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</si>
  <si>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</si>
  <si>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</si>
  <si>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</si>
  <si>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</si>
  <si>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</si>
  <si>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</si>
  <si>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</si>
  <si>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</si>
  <si>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</si>
  <si>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</si>
  <si>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</si>
  <si>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</si>
  <si>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</si>
  <si>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</si>
  <si>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</si>
  <si>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</si>
  <si>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</si>
  <si>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</si>
  <si>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</si>
  <si>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</si>
  <si>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</si>
  <si>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</si>
  <si>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</si>
  <si>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</si>
  <si>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</si>
  <si>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</si>
  <si>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</si>
  <si>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</si>
  <si>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</si>
  <si>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</si>
  <si>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</si>
  <si>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</si>
  <si>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</si>
  <si>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</si>
  <si>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</si>
  <si>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</si>
  <si>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</si>
  <si>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</si>
  <si>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</si>
  <si>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</si>
  <si>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</si>
  <si>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</si>
  <si>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</si>
  <si>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</si>
  <si>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</si>
  <si>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</si>
  <si>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</si>
  <si>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</si>
  <si>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</si>
  <si>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</si>
  <si>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</si>
  <si>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</si>
  <si>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</si>
  <si>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</si>
  <si>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</si>
  <si>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</si>
  <si>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</si>
  <si>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</si>
  <si>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</si>
  <si>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</si>
  <si>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</si>
  <si>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</si>
  <si>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</si>
  <si>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</si>
  <si>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</si>
  <si>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</si>
  <si>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</si>
  <si>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</si>
  <si>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</si>
  <si>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</si>
  <si>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</si>
  <si>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</si>
  <si>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</si>
  <si>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</si>
  <si>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</si>
  <si>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</si>
  <si>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</si>
  <si>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</si>
  <si>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</si>
  <si>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</si>
  <si>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</si>
  <si>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</si>
  <si>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</si>
  <si>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</si>
  <si>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</si>
  <si>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</si>
  <si>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</si>
  <si>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</si>
  <si>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</si>
  <si>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</si>
  <si>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</si>
  <si>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</si>
  <si>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</si>
  <si>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</si>
  <si>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</si>
  <si>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</si>
  <si>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</si>
  <si>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</si>
  <si>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</si>
  <si>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</si>
  <si>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</si>
  <si>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</si>
  <si>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</si>
  <si>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</si>
  <si>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</si>
  <si>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</si>
  <si>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</si>
  <si>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</si>
  <si>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</si>
  <si>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</si>
  <si>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</si>
  <si>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</si>
  <si>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</si>
  <si>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</si>
  <si>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</si>
  <si>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</si>
  <si>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</si>
  <si>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</si>
  <si>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</si>
  <si>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</si>
  <si>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</si>
  <si>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</si>
  <si>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</si>
  <si>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</si>
  <si>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</si>
  <si>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</si>
  <si>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</si>
  <si>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</si>
  <si>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</si>
  <si>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</si>
  <si>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</si>
  <si>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</si>
  <si>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</si>
  <si>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</si>
  <si>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</si>
  <si>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</si>
  <si>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</si>
  <si>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</si>
  <si>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</si>
  <si>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</si>
  <si>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</si>
  <si>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</si>
  <si>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</si>
  <si>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</si>
  <si>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</si>
  <si>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</si>
  <si>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</si>
  <si>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</si>
  <si>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</si>
  <si>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</si>
  <si>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</si>
  <si>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</si>
  <si>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</si>
  <si>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</si>
  <si>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</si>
  <si>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</si>
  <si>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</si>
  <si>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</si>
  <si>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</si>
  <si>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</si>
  <si>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</si>
  <si>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</si>
  <si>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</si>
  <si>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</si>
  <si>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</si>
  <si>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</si>
  <si>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</si>
  <si>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</si>
  <si>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</si>
  <si>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</si>
  <si>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</si>
  <si>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</si>
  <si>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</si>
  <si>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</si>
  <si>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</si>
  <si>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</si>
  <si>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</si>
  <si>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</si>
  <si>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</si>
  <si>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</si>
  <si>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</si>
  <si>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</si>
  <si>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</si>
  <si>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</si>
  <si>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</si>
  <si>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</si>
  <si>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</si>
  <si>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</si>
  <si>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</si>
  <si>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</si>
  <si>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</si>
  <si>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</si>
  <si>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</si>
  <si>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</si>
  <si>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</si>
  <si>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</si>
  <si>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</si>
  <si>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</si>
  <si>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</si>
  <si>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</si>
  <si>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</si>
  <si>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</si>
  <si>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</si>
  <si>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</si>
  <si>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</si>
  <si>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</si>
  <si>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</si>
  <si>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</si>
  <si>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</si>
  <si>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</si>
  <si>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</si>
  <si>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</si>
  <si>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</si>
  <si>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</si>
  <si>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</si>
  <si>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</si>
  <si>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</si>
  <si>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</si>
  <si>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</si>
  <si>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</si>
  <si>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</si>
  <si>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</si>
  <si>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</si>
  <si>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</si>
  <si>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</si>
  <si>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</si>
  <si>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</si>
  <si>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</si>
  <si>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</si>
  <si>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</si>
  <si>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</si>
  <si>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</si>
  <si>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</si>
  <si>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</si>
  <si>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</si>
  <si>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</si>
  <si>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</si>
  <si>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</si>
  <si>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</si>
  <si>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</si>
  <si>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</si>
  <si>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</si>
  <si>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</si>
  <si>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</si>
  <si>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</si>
  <si>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</si>
  <si>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</si>
  <si>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</si>
  <si>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</si>
  <si>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</si>
  <si>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</si>
  <si>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</si>
  <si>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</si>
  <si>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</si>
  <si>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</si>
  <si>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</si>
  <si>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</si>
  <si>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</si>
  <si>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</si>
  <si>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</si>
  <si>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</si>
  <si>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</si>
  <si>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</si>
  <si>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</si>
  <si>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</si>
  <si>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</si>
  <si>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</si>
  <si>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</si>
  <si>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</si>
  <si>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</si>
  <si>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</si>
  <si>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</si>
  <si>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</si>
  <si>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</si>
  <si>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</si>
  <si>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</si>
  <si>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</si>
  <si>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</si>
  <si>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</si>
  <si>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</si>
  <si>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</si>
  <si>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</si>
  <si>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</si>
  <si>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</si>
  <si>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</si>
  <si>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</si>
  <si>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</si>
  <si>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</si>
  <si>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</si>
  <si>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</si>
  <si>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</si>
  <si>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</si>
  <si>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</si>
  <si>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</si>
  <si>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</si>
  <si>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</si>
  <si>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</si>
  <si>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</si>
  <si>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</si>
  <si>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</si>
  <si>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</si>
  <si>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</si>
  <si>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</si>
  <si>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</si>
  <si>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</si>
  <si>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</si>
  <si>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</si>
  <si>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</si>
  <si>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</si>
  <si>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</si>
  <si>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</si>
  <si>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</si>
  <si>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</si>
  <si>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</si>
  <si>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</si>
  <si>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</si>
  <si>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</si>
  <si>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</si>
  <si>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</si>
  <si>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</si>
  <si>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</si>
  <si>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</si>
  <si>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</si>
  <si>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</si>
  <si>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</si>
  <si>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</si>
  <si>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</si>
  <si>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</si>
  <si>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</si>
  <si>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</si>
  <si>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</si>
  <si>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</si>
  <si>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</si>
  <si>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</si>
  <si>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</si>
  <si>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</si>
  <si>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</si>
  <si>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</si>
  <si>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</si>
  <si>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</si>
  <si>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</si>
  <si>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</si>
  <si>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</si>
  <si>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</si>
  <si>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</si>
  <si>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</si>
  <si>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</si>
  <si>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</si>
  <si>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</si>
  <si>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</si>
  <si>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</si>
  <si>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</si>
  <si>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</si>
  <si>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</si>
  <si>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</si>
  <si>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</si>
  <si>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</si>
  <si>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</si>
  <si>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</si>
  <si>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</si>
  <si>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</si>
  <si>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</si>
  <si>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</si>
  <si>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</si>
  <si>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</si>
  <si>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</si>
  <si>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</si>
  <si>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</si>
  <si>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</si>
  <si>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</si>
  <si>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</si>
  <si>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</si>
  <si>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</si>
  <si>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</si>
  <si>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</si>
  <si>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</si>
  <si>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</si>
  <si>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</si>
  <si>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</si>
  <si>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</si>
  <si>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</si>
  <si>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</si>
  <si>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</si>
  <si>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</si>
  <si>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</si>
  <si>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</si>
  <si>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</si>
  <si>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</si>
  <si>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</si>
  <si>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</si>
  <si>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</si>
  <si>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</si>
  <si>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</si>
  <si>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</si>
  <si>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</si>
  <si>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</si>
  <si>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</si>
  <si>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</si>
  <si>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</si>
  <si>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</si>
  <si>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</si>
  <si>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</si>
  <si>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</si>
  <si>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</si>
  <si>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</si>
  <si>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</si>
  <si>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</si>
  <si>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</si>
  <si>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</si>
  <si>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</si>
  <si>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</si>
  <si>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</si>
  <si>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</si>
  <si>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</si>
  <si>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</si>
  <si>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</si>
  <si>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</si>
  <si>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</si>
  <si>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</si>
  <si>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</si>
  <si>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</si>
  <si>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</si>
  <si>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</si>
  <si>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</si>
  <si>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</si>
  <si>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</si>
  <si>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</si>
  <si>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</si>
  <si>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</si>
  <si>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</si>
  <si>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</si>
  <si>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</si>
  <si>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</si>
  <si>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</si>
  <si>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</si>
  <si>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</si>
  <si>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</si>
  <si>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</si>
  <si>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</si>
  <si>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</si>
  <si>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</si>
  <si>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</si>
  <si>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</si>
  <si>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</si>
  <si>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</si>
  <si>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</si>
  <si>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</si>
  <si>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</si>
  <si>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</si>
  <si>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</si>
  <si>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</si>
  <si>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</si>
  <si>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</si>
  <si>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</si>
  <si>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</si>
  <si>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</si>
  <si>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</si>
  <si>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</si>
  <si>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</si>
  <si>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</si>
  <si>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</si>
  <si>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</si>
  <si>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</si>
  <si>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</si>
  <si>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</si>
  <si>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</si>
  <si>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</si>
  <si>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</si>
  <si>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</si>
  <si>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</si>
  <si>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</si>
  <si>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</si>
  <si>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</si>
  <si>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</si>
  <si>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</si>
  <si>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</si>
  <si>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</si>
  <si>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</si>
  <si>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</si>
  <si>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</si>
  <si>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</si>
  <si>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</si>
  <si>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</si>
  <si>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</si>
  <si>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</si>
  <si>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</si>
  <si>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</si>
  <si>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</si>
  <si>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</si>
  <si>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</si>
  <si>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</si>
  <si>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</si>
  <si>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</si>
  <si>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</si>
  <si>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</si>
  <si>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</si>
  <si>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</si>
  <si>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</si>
  <si>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</si>
  <si>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</si>
  <si>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</si>
  <si>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</si>
  <si>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</si>
  <si>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</si>
  <si>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</si>
  <si>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</si>
  <si>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</si>
  <si>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</si>
  <si>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</si>
  <si>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</si>
  <si>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</si>
  <si>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</si>
  <si>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</si>
  <si>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</si>
  <si>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</si>
  <si>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</si>
  <si>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</si>
  <si>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</si>
  <si>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</si>
  <si>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</si>
  <si>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</si>
  <si>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</si>
  <si>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</si>
  <si>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</si>
  <si>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</si>
  <si>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</si>
  <si>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</si>
  <si>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</si>
  <si>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</si>
  <si>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</si>
  <si>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</si>
  <si>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</si>
  <si>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</si>
  <si>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</si>
  <si>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</si>
  <si>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</si>
  <si>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</si>
  <si>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</si>
  <si>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</si>
  <si>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</si>
  <si>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</si>
  <si>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</si>
  <si>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</si>
  <si>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</si>
  <si>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</si>
  <si>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</si>
  <si>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</si>
  <si>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</si>
  <si>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</si>
  <si>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</si>
  <si>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</si>
  <si>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</si>
  <si>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</si>
  <si>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</si>
  <si>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</si>
  <si>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</si>
  <si>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</si>
  <si>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</si>
  <si>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</si>
  <si>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</si>
  <si>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</si>
  <si>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</si>
  <si>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</si>
  <si>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</si>
  <si>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</si>
  <si>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</si>
  <si>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</si>
  <si>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</si>
  <si>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</si>
  <si>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</si>
  <si>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</si>
  <si>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</si>
  <si>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</si>
  <si>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</si>
  <si>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</si>
  <si>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</si>
  <si>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</si>
  <si>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</si>
  <si>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</si>
  <si>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</si>
  <si>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</si>
  <si>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</si>
  <si>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</si>
  <si>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</si>
  <si>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</si>
  <si>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</si>
  <si>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</si>
  <si>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</si>
  <si>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</si>
  <si>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</si>
  <si>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</si>
  <si>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</si>
  <si>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</si>
  <si>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</si>
  <si>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</si>
  <si>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</si>
  <si>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</si>
  <si>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</si>
  <si>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</si>
  <si>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</si>
  <si>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</si>
  <si>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</si>
  <si>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</si>
  <si>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</si>
  <si>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</si>
  <si>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</si>
  <si>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</si>
  <si>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</si>
  <si>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</si>
  <si>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</si>
  <si>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</si>
  <si>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</si>
  <si>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</si>
  <si>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</si>
  <si>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</si>
  <si>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</si>
  <si>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</si>
  <si>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</si>
  <si>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</si>
  <si>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</si>
  <si>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</si>
  <si>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</si>
  <si>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</si>
  <si>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</si>
  <si>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</si>
  <si>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</si>
  <si>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</si>
  <si>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</si>
  <si>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</si>
  <si>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</si>
  <si>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</si>
  <si>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</si>
  <si>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</si>
  <si>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</si>
  <si>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</si>
  <si>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</si>
  <si>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</si>
  <si>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</si>
  <si>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</si>
  <si>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</si>
  <si>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</si>
  <si>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</si>
  <si>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</si>
  <si>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</si>
  <si>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</si>
  <si>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</si>
  <si>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</si>
  <si>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</si>
  <si>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</si>
  <si>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</si>
  <si>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</si>
  <si>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</si>
  <si>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</si>
  <si>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</si>
  <si>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</si>
  <si>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</si>
  <si>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</si>
  <si>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</si>
  <si>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</si>
  <si>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</si>
  <si>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</si>
  <si>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</si>
  <si>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</si>
  <si>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</si>
  <si>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</si>
  <si>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</si>
  <si>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</si>
  <si>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</si>
  <si>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</si>
  <si>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</si>
  <si>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</si>
  <si>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</si>
  <si>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</si>
  <si>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</si>
  <si>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</si>
  <si>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</si>
  <si>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</si>
  <si>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</si>
  <si>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</si>
  <si>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</si>
  <si>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</si>
  <si>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</si>
  <si>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</si>
  <si>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</si>
  <si>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</si>
  <si>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</si>
  <si>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</si>
  <si>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</si>
  <si>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</si>
  <si>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</si>
  <si>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</si>
  <si>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</si>
  <si>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</si>
  <si>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</si>
  <si>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</si>
  <si>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</si>
  <si>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</si>
  <si>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</si>
  <si>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</si>
  <si>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</si>
  <si>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</si>
  <si>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</si>
  <si>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</si>
  <si>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</si>
  <si>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</si>
  <si>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</si>
  <si>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</si>
  <si>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</si>
  <si>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</si>
  <si>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</si>
  <si>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</si>
  <si>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</si>
  <si>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</si>
  <si>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</si>
  <si>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</si>
  <si>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</si>
  <si>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</si>
  <si>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</si>
  <si>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</si>
  <si>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</si>
  <si>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</si>
  <si>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</si>
  <si>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</si>
  <si>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</si>
  <si>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</si>
  <si>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</si>
  <si>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</si>
  <si>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</si>
  <si>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</si>
  <si>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</si>
  <si>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</si>
  <si>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</si>
  <si>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</si>
  <si>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</si>
  <si>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</si>
  <si>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</si>
  <si>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</si>
  <si>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</si>
  <si>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</si>
  <si>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</si>
  <si>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</si>
  <si>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</si>
  <si>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</si>
  <si>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</si>
  <si>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</si>
  <si>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</si>
  <si>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</si>
  <si>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</si>
  <si>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</si>
  <si>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</si>
  <si>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</si>
  <si>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</si>
  <si>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</si>
  <si>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</si>
  <si>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</si>
  <si>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</si>
  <si>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</si>
  <si>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</si>
  <si>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</si>
  <si>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</si>
  <si>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</si>
  <si>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</si>
  <si>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</si>
  <si>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</si>
  <si>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</si>
  <si>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</si>
  <si>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</si>
  <si>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</si>
  <si>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</si>
  <si>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</si>
  <si>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</si>
  <si>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</si>
  <si>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</si>
  <si>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</si>
  <si>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</si>
  <si>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</si>
  <si>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</si>
  <si>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</si>
  <si>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</si>
  <si>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</si>
  <si>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</si>
  <si>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</si>
  <si>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</si>
  <si>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</si>
  <si>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</si>
  <si>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</si>
  <si>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</si>
  <si>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</si>
  <si>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</si>
  <si>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</si>
  <si>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</si>
  <si>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</si>
  <si>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</si>
  <si>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</si>
  <si>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</si>
  <si>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</si>
  <si>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</si>
  <si>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</si>
  <si>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</si>
  <si>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</si>
  <si>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</si>
  <si>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</si>
  <si>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</si>
  <si>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</si>
  <si>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</si>
  <si>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</si>
  <si>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</si>
  <si>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</si>
  <si>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</si>
  <si>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</si>
  <si>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</si>
  <si>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</si>
  <si>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</si>
  <si>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</si>
  <si>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</si>
  <si>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</si>
  <si>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</si>
  <si>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</si>
  <si>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</si>
  <si>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</si>
  <si>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</si>
  <si>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</si>
  <si>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</si>
  <si>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</si>
  <si>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</si>
  <si>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</si>
  <si>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</si>
  <si>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</si>
  <si>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</si>
  <si>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</si>
  <si>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</si>
  <si>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</si>
  <si>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</si>
  <si>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</si>
  <si>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</si>
  <si>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</si>
  <si>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</si>
  <si>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</si>
  <si>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</si>
  <si>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</si>
  <si>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</si>
  <si>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</si>
  <si>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</si>
  <si>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</si>
  <si>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</si>
  <si>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</si>
  <si>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</si>
  <si>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</si>
  <si>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</si>
  <si>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</si>
  <si>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</si>
  <si>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</si>
  <si>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</si>
  <si>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</si>
  <si>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</si>
  <si>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</si>
  <si>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</si>
  <si>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</si>
  <si>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</si>
  <si>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</si>
  <si>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</si>
  <si>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</si>
  <si>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</si>
  <si>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</si>
  <si>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</si>
  <si>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</si>
  <si>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</si>
  <si>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</si>
  <si>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</si>
  <si>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</si>
  <si>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</si>
  <si>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</si>
  <si>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</si>
  <si>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</si>
  <si>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</si>
  <si>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</si>
  <si>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</si>
  <si>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</si>
  <si>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</si>
  <si>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</si>
  <si>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</si>
  <si>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</si>
  <si>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</si>
  <si>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</si>
  <si>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</si>
  <si>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</si>
  <si>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</si>
  <si>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</si>
  <si>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</si>
  <si>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</si>
  <si>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</si>
  <si>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</si>
  <si>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</si>
  <si>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</si>
  <si>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</si>
  <si>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</si>
  <si>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</si>
  <si>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</si>
  <si>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</si>
  <si>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</si>
  <si>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</si>
  <si>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</si>
  <si>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</si>
  <si>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</si>
  <si>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</si>
  <si>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</si>
  <si>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</si>
  <si>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</si>
  <si>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</si>
  <si>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</si>
  <si>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</si>
  <si>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</si>
  <si>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</si>
  <si>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</si>
  <si>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</si>
  <si>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</si>
  <si>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</si>
  <si>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</si>
  <si>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</si>
  <si>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</si>
  <si>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</si>
  <si>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</si>
  <si>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</si>
  <si>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</si>
  <si>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</si>
  <si>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</si>
  <si>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</si>
  <si>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</si>
  <si>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</si>
  <si>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</si>
  <si>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</si>
  <si>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</si>
  <si>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</si>
  <si>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</si>
  <si>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</si>
  <si>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</si>
  <si>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</si>
  <si>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</si>
  <si>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</si>
  <si>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</si>
  <si>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</si>
  <si>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</si>
  <si>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</si>
  <si>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</si>
  <si>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</si>
  <si>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</si>
  <si>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</si>
  <si>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</si>
  <si>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</si>
  <si>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</si>
  <si>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</si>
  <si>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</si>
  <si>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</si>
  <si>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</si>
  <si>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</si>
  <si>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</si>
  <si>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</si>
  <si>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</si>
  <si>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</si>
  <si>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</si>
  <si>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</si>
  <si>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</si>
  <si>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</si>
  <si>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</si>
  <si>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</si>
  <si>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</si>
  <si>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</si>
  <si>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</si>
  <si>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</si>
  <si>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</si>
  <si>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</si>
  <si>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</si>
  <si>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</si>
  <si>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</si>
  <si>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</si>
  <si>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</si>
  <si>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</si>
  <si>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</si>
  <si>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</si>
  <si>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</si>
  <si>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</si>
  <si>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</si>
  <si>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</si>
  <si>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</si>
  <si>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</si>
  <si>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</si>
  <si>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</si>
  <si>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</si>
  <si>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</si>
  <si>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</si>
  <si>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</si>
  <si>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</si>
  <si>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</si>
  <si>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</si>
  <si>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</si>
  <si>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</si>
  <si>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</si>
  <si>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</si>
  <si>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</si>
  <si>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</si>
  <si>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</si>
  <si>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</si>
  <si>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</si>
  <si>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</si>
  <si>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</si>
  <si>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</si>
  <si>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</si>
  <si>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</si>
  <si>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</si>
  <si>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</si>
  <si>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</si>
  <si>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</si>
  <si>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</si>
  <si>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</si>
  <si>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</si>
  <si>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</si>
  <si>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</si>
  <si>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</si>
  <si>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</si>
  <si>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</si>
  <si>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</si>
  <si>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</si>
  <si>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</si>
  <si>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</si>
  <si>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</si>
  <si>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</si>
  <si>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</si>
  <si>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</si>
  <si>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</si>
  <si>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</si>
  <si>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</si>
  <si>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</si>
  <si>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</si>
  <si>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</si>
  <si>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</si>
  <si>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</si>
  <si>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</si>
  <si>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</si>
  <si>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</si>
  <si>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</si>
  <si>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</si>
  <si>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</si>
  <si>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</si>
  <si>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</si>
  <si>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</si>
  <si>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</si>
  <si>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</si>
  <si>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</si>
  <si>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</si>
  <si>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</si>
  <si>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</si>
  <si>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</si>
  <si>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</si>
  <si>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</si>
  <si>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</si>
  <si>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</si>
  <si>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</si>
  <si>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</si>
  <si>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</si>
  <si>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</si>
  <si>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</si>
  <si>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</si>
  <si>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</si>
  <si>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</si>
  <si>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</si>
  <si>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</si>
  <si>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</si>
  <si>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</si>
  <si>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</si>
  <si>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</si>
  <si>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</si>
  <si>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</si>
  <si>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</si>
  <si>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</si>
  <si>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</si>
  <si>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</si>
  <si>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</si>
  <si>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</si>
  <si>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</si>
  <si>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</si>
  <si>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</si>
  <si>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</si>
  <si>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</si>
  <si>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</si>
  <si>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</si>
  <si>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</si>
  <si>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</si>
  <si>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</si>
  <si>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</si>
  <si>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</si>
  <si>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</si>
  <si>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</si>
  <si>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</si>
  <si>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</si>
  <si>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</si>
  <si>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</si>
  <si>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</si>
  <si>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</si>
  <si>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</si>
  <si>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</si>
  <si>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</si>
  <si>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</si>
  <si>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</si>
  <si>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</si>
  <si>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</si>
  <si>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</si>
  <si>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</si>
  <si>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</si>
  <si>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</si>
  <si>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</si>
  <si>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</si>
  <si>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</si>
  <si>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</si>
  <si>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</si>
  <si>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</si>
  <si>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</si>
  <si>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</si>
  <si>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</si>
  <si>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</si>
  <si>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</si>
  <si>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</si>
  <si>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</si>
  <si>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</si>
  <si>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</si>
  <si>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</si>
  <si>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</si>
  <si>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</si>
  <si>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</si>
  <si>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</si>
  <si>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</si>
  <si>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</si>
  <si>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</si>
  <si>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</si>
  <si>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</si>
  <si>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</si>
  <si>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</si>
  <si>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</si>
  <si>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</si>
  <si>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</si>
  <si>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</si>
  <si>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</si>
  <si>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</si>
  <si>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</si>
  <si>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</si>
  <si>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</si>
  <si>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</si>
  <si>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</si>
  <si>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</si>
  <si>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</si>
  <si>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</si>
  <si>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</si>
  <si>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</si>
  <si>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</si>
  <si>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</si>
  <si>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</si>
  <si>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</si>
  <si>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</si>
  <si>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</si>
  <si>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</si>
  <si>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</si>
  <si>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</si>
  <si>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</si>
  <si>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</si>
  <si>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</si>
  <si>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</si>
  <si>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</si>
  <si>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</si>
  <si>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</si>
  <si>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</si>
  <si>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</si>
  <si>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</si>
  <si>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</si>
  <si>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</si>
  <si>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</si>
  <si>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</si>
  <si>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</si>
  <si>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</si>
  <si>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</si>
  <si>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</si>
  <si>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</si>
  <si>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</si>
  <si>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</si>
  <si>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</si>
  <si>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</si>
  <si>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</si>
  <si>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</si>
  <si>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</si>
  <si>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</si>
  <si>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</si>
  <si>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</si>
  <si>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</si>
  <si>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</si>
  <si>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</si>
  <si>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</si>
  <si>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</si>
  <si>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</si>
  <si>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</si>
  <si>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</si>
  <si>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</si>
  <si>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</si>
  <si>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</si>
  <si>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</si>
  <si>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</si>
  <si>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</si>
  <si>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</si>
  <si>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</si>
  <si>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</si>
  <si>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</si>
  <si>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</si>
  <si>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</si>
  <si>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</si>
  <si>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</si>
  <si>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</si>
  <si>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</si>
  <si>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</si>
  <si>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</si>
  <si>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</si>
  <si>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</si>
  <si>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</si>
  <si>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</si>
  <si>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</si>
  <si>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</si>
  <si>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</si>
  <si>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</si>
  <si>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</si>
  <si>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</si>
  <si>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</si>
  <si>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</si>
  <si>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</si>
  <si>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</si>
  <si>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</si>
  <si>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</si>
  <si>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</si>
  <si>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</si>
  <si>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</si>
  <si>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</si>
  <si>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</si>
  <si>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</si>
  <si>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</si>
  <si>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</si>
  <si>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</si>
  <si>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</si>
  <si>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</si>
  <si>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</si>
  <si>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</si>
  <si>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</si>
  <si>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</si>
  <si>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</si>
  <si>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</si>
  <si>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</si>
  <si>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</si>
  <si>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</si>
  <si>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</si>
  <si>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</si>
  <si>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</si>
  <si>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</si>
  <si>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</si>
  <si>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</si>
  <si>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</si>
  <si>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</si>
  <si>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</si>
  <si>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</si>
  <si>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</si>
  <si>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</si>
  <si>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</si>
  <si>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</si>
  <si>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</si>
  <si>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</si>
  <si>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</si>
  <si>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</si>
  <si>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</si>
  <si>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</si>
  <si>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</si>
  <si>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</si>
  <si>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</si>
  <si>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</si>
  <si>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</si>
  <si>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</si>
  <si>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</si>
  <si>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</si>
  <si>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</si>
  <si>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</si>
  <si>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</si>
  <si>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</si>
  <si>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</si>
  <si>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</si>
  <si>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</si>
  <si>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</si>
  <si>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</si>
  <si>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</si>
  <si>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</si>
  <si>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</si>
  <si>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</si>
  <si>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</si>
  <si>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</si>
  <si>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</si>
  <si>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</si>
  <si>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</si>
  <si>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</si>
  <si>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</si>
  <si>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</si>
  <si>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</si>
  <si>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</si>
  <si>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</si>
  <si>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</si>
  <si>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</si>
  <si>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</si>
  <si>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</si>
  <si>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</si>
  <si>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</si>
  <si>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</si>
  <si>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</si>
  <si>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</si>
  <si>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</si>
  <si>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</si>
  <si>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</si>
  <si>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</si>
  <si>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</si>
  <si>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</si>
  <si>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</si>
  <si>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</si>
  <si>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</si>
  <si>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</si>
  <si>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</si>
  <si>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</si>
  <si>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</si>
  <si>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</si>
  <si>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</si>
  <si>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</si>
  <si>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</si>
  <si>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</si>
  <si>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</si>
  <si>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</si>
  <si>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</si>
  <si>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</si>
  <si>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</si>
  <si>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</si>
  <si>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</si>
  <si>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</si>
  <si>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</si>
  <si>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</si>
  <si>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</si>
  <si>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</si>
  <si>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</si>
  <si>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</si>
  <si>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</si>
  <si>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</si>
  <si>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</si>
  <si>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</si>
  <si>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</si>
  <si>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</si>
  <si>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</si>
  <si>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</si>
  <si>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</si>
  <si>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</si>
  <si>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</si>
  <si>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</si>
  <si>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</si>
  <si>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</si>
  <si>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</si>
  <si>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</si>
  <si>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</si>
  <si>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</si>
  <si>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</si>
  <si>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</si>
  <si>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</si>
  <si>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</si>
  <si>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</si>
  <si>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</si>
  <si>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</si>
  <si>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</si>
  <si>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</si>
  <si>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</si>
  <si>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</si>
  <si>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</si>
  <si>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</si>
  <si>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</si>
  <si>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</si>
  <si>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</si>
  <si>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</si>
  <si>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</si>
  <si>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</si>
  <si>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</si>
  <si>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</si>
  <si>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</si>
  <si>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</si>
  <si>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</si>
  <si>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</si>
  <si>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</si>
  <si>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</si>
  <si>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</si>
  <si>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</si>
  <si>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</si>
  <si>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</si>
  <si>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</si>
  <si>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</si>
  <si>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</si>
  <si>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</si>
  <si>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</si>
  <si>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</si>
  <si>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</si>
  <si>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</si>
  <si>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</si>
  <si>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</si>
  <si>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</si>
  <si>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</si>
  <si>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</si>
  <si>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</si>
  <si>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</si>
  <si>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</si>
  <si>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</si>
  <si>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</si>
  <si>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</si>
  <si>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</si>
  <si>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</si>
  <si>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</si>
  <si>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</si>
  <si>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</si>
  <si>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</si>
  <si>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</si>
  <si>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</si>
  <si>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</si>
  <si>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</si>
  <si>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</si>
  <si>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</si>
  <si>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</si>
  <si>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</si>
  <si>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</si>
  <si>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</si>
  <si>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</si>
  <si>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</si>
  <si>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</si>
  <si>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</si>
  <si>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</si>
  <si>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</si>
  <si>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</si>
  <si>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</si>
  <si>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</si>
  <si>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</si>
  <si>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</si>
  <si>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</si>
  <si>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</si>
  <si>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</si>
  <si>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</si>
  <si>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</si>
  <si>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</si>
  <si>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</si>
  <si>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</si>
  <si>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</si>
  <si>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</si>
  <si>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</si>
  <si>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</si>
  <si>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</si>
  <si>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</si>
  <si>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</si>
  <si>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</si>
  <si>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</si>
  <si>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</si>
  <si>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</si>
  <si>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</si>
  <si>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</si>
  <si>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</si>
  <si>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</si>
  <si>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</si>
  <si>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</si>
  <si>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</si>
  <si>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</si>
  <si>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</si>
  <si>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</si>
  <si>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</si>
  <si>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</si>
  <si>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</si>
  <si>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</si>
  <si>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</si>
  <si>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</si>
  <si>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</si>
  <si>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</si>
  <si>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</si>
  <si>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</si>
  <si>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</si>
  <si>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</si>
  <si>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</si>
  <si>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</si>
  <si>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</si>
  <si>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</si>
  <si>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</si>
  <si>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</si>
  <si>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</si>
  <si>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</si>
  <si>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</si>
  <si>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</si>
  <si>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</si>
  <si>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</si>
  <si>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</si>
  <si>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</si>
  <si>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</si>
  <si>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</si>
  <si>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</si>
  <si>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</si>
  <si>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</si>
  <si>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</si>
  <si>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</si>
  <si>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</si>
  <si>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</si>
  <si>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</si>
  <si>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</si>
  <si>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</si>
  <si>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</si>
  <si>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</si>
  <si>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</si>
  <si>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</si>
  <si>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</si>
  <si>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</si>
  <si>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</si>
  <si>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</si>
  <si>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</si>
  <si>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</si>
  <si>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</si>
  <si>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</si>
  <si>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</si>
  <si>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</si>
  <si>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</si>
  <si>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</si>
  <si>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</si>
  <si>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</si>
  <si>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</si>
  <si>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</si>
  <si>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</si>
  <si>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</si>
  <si>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</si>
  <si>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</si>
  <si>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</si>
  <si>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</si>
  <si>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</si>
  <si>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</si>
  <si>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</si>
  <si>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</si>
  <si>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</si>
  <si>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</si>
  <si>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</si>
  <si>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</si>
  <si>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</si>
  <si>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</si>
  <si>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</si>
  <si>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</si>
  <si>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</si>
  <si>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</si>
  <si>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</si>
  <si>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</si>
  <si>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</si>
  <si>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</si>
  <si>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</si>
  <si>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</si>
  <si>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</si>
  <si>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</si>
  <si>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</si>
  <si>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</si>
  <si>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</si>
  <si>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</si>
  <si>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</si>
  <si>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</si>
  <si>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</si>
  <si>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</si>
  <si>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</si>
  <si>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</si>
  <si>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</si>
  <si>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</si>
  <si>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</si>
  <si>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</si>
  <si>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</si>
  <si>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</si>
  <si>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</si>
  <si>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</si>
  <si>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</si>
  <si>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</si>
  <si>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</si>
  <si>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</si>
  <si>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</si>
  <si>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</si>
  <si>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</si>
  <si>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</si>
  <si>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</si>
  <si>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</si>
  <si>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</si>
  <si>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</si>
  <si>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</si>
  <si>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</si>
  <si>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</si>
  <si>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</si>
  <si>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</si>
  <si>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</si>
  <si>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</si>
  <si>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</si>
  <si>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</si>
  <si>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</si>
  <si>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</si>
  <si>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</si>
  <si>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</si>
  <si>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</si>
  <si>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</si>
  <si>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</si>
  <si>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</si>
  <si>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</si>
  <si>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</si>
  <si>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</si>
  <si>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</si>
  <si>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</si>
  <si>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</si>
  <si>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</si>
  <si>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</si>
  <si>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</si>
  <si>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</si>
  <si>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</si>
  <si>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</si>
  <si>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</si>
  <si>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</si>
  <si>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</si>
  <si>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</si>
  <si>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</si>
  <si>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</si>
  <si>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</si>
  <si>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</si>
  <si>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</si>
  <si>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</si>
  <si>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</si>
  <si>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</si>
  <si>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</si>
  <si>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</si>
  <si>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</si>
  <si>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</si>
  <si>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</si>
  <si>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</si>
  <si>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</si>
  <si>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</si>
  <si>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</si>
  <si>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</si>
  <si>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</si>
  <si>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</si>
  <si>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</si>
  <si>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</si>
  <si>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</si>
  <si>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</si>
  <si>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</si>
  <si>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</si>
  <si>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</si>
  <si>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</si>
  <si>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</si>
  <si>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</si>
  <si>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</si>
  <si>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</si>
  <si>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</si>
  <si>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</si>
  <si>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</si>
  <si>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</si>
  <si>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</si>
  <si>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</si>
  <si>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</si>
  <si>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</si>
  <si>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</si>
  <si>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</si>
  <si>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</si>
  <si>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</si>
  <si>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</si>
  <si>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</si>
  <si>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</si>
  <si>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</si>
  <si>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</si>
  <si>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</si>
  <si>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</si>
  <si>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</si>
  <si>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</si>
  <si>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</si>
  <si>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</si>
  <si>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</si>
  <si>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</si>
  <si>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</si>
  <si>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</si>
  <si>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</si>
  <si>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</si>
  <si>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</si>
  <si>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</si>
  <si>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</si>
  <si>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</si>
  <si>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</si>
  <si>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</si>
  <si>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</si>
  <si>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</si>
  <si>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</si>
  <si>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</si>
  <si>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</si>
  <si>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</si>
  <si>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</si>
  <si>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</si>
  <si>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</si>
  <si>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</si>
  <si>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</si>
  <si>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</si>
  <si>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</si>
  <si>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</si>
  <si>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</si>
  <si>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</si>
  <si>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</si>
  <si>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</si>
  <si>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</si>
  <si>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</si>
  <si>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</si>
  <si>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</si>
  <si>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</si>
  <si>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</si>
  <si>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</si>
  <si>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</si>
  <si>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</si>
  <si>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</si>
  <si>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</si>
  <si>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</si>
  <si>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</si>
  <si>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</si>
  <si>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</si>
  <si>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</si>
  <si>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</si>
  <si>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</si>
  <si>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</si>
  <si>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</si>
  <si>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</si>
  <si>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</si>
  <si>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</si>
  <si>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</si>
  <si>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</si>
  <si>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</si>
  <si>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</si>
  <si>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</si>
  <si>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</si>
  <si>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</si>
  <si>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</si>
  <si>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</si>
  <si>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</si>
  <si>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</si>
  <si>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</si>
  <si>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</si>
  <si>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</si>
  <si>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</si>
  <si>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</si>
  <si>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</si>
  <si>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</si>
  <si>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</si>
  <si>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</si>
  <si>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</si>
  <si>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</si>
  <si>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</si>
  <si>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</si>
  <si>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</si>
  <si>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</si>
  <si>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</si>
  <si>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</si>
  <si>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</si>
  <si>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</si>
  <si>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</si>
  <si>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</si>
  <si>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</si>
  <si>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</si>
  <si>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</si>
  <si>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</si>
  <si>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</si>
  <si>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</si>
  <si>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</si>
  <si>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</si>
  <si>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</si>
  <si>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</si>
  <si>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</si>
  <si>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</si>
  <si>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</si>
  <si>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</si>
  <si>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</si>
  <si>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</si>
  <si>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</si>
  <si>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</si>
  <si>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</si>
  <si>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</si>
  <si>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</si>
  <si>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</si>
  <si>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</si>
  <si>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</si>
  <si>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</si>
  <si>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</si>
  <si>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</si>
  <si>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</si>
  <si>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</si>
  <si>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</si>
  <si>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</si>
  <si>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</si>
  <si>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</si>
  <si>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</si>
  <si>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</si>
  <si>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</si>
  <si>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</si>
  <si>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</si>
  <si>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</si>
  <si>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</si>
  <si>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</si>
  <si>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</si>
  <si>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</si>
  <si>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</si>
  <si>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</si>
  <si>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</si>
  <si>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</si>
  <si>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</si>
  <si>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</si>
  <si>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</si>
  <si>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</si>
  <si>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</si>
  <si>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</si>
  <si>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</si>
  <si>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</si>
  <si>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</si>
  <si>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</si>
  <si>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</si>
  <si>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</si>
  <si>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</si>
  <si>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</si>
  <si>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</si>
  <si>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</si>
  <si>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</si>
  <si>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</si>
  <si>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</si>
  <si>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</si>
  <si>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</si>
  <si>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</si>
  <si>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</si>
  <si>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</si>
  <si>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</si>
  <si>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</si>
  <si>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</si>
  <si>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</si>
  <si>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</si>
  <si>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</si>
  <si>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</si>
  <si>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</si>
  <si>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</si>
  <si>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</si>
  <si>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</si>
  <si>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</si>
  <si>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</si>
  <si>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</si>
  <si>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</si>
  <si>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</si>
  <si>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</si>
  <si>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</si>
  <si>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</si>
  <si>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</si>
  <si>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</si>
  <si>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</si>
  <si>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</si>
  <si>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</si>
  <si>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</si>
  <si>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</si>
  <si>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</si>
  <si>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</si>
  <si>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</si>
  <si>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</si>
  <si>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</si>
  <si>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</si>
  <si>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</si>
  <si>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</si>
  <si>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</si>
  <si>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</si>
  <si>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</si>
  <si>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</si>
  <si>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</si>
  <si>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</si>
  <si>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</si>
  <si>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</si>
  <si>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</si>
  <si>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</si>
  <si>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</si>
  <si>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</si>
  <si>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</si>
  <si>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</si>
  <si>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</si>
  <si>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</si>
  <si>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</si>
  <si>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</si>
  <si>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</si>
  <si>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</si>
  <si>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</si>
  <si>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</si>
  <si>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</si>
  <si>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</si>
  <si>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</si>
  <si>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</si>
  <si>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</si>
  <si>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</si>
  <si>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</si>
  <si>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</si>
  <si>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</si>
  <si>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</si>
  <si>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</si>
  <si>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</si>
  <si>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</si>
  <si>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</si>
  <si>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</si>
  <si>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</si>
  <si>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</si>
  <si>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</si>
  <si>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</si>
  <si>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</si>
  <si>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</si>
  <si>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</si>
  <si>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</si>
  <si>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</si>
  <si>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</si>
  <si>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</si>
  <si>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</si>
  <si>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</si>
  <si>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</si>
  <si>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</si>
  <si>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</si>
  <si>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</si>
  <si>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</si>
  <si>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</si>
  <si>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</si>
  <si>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</si>
  <si>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</si>
  <si>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</si>
  <si>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</si>
  <si>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</si>
  <si>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</si>
  <si>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</si>
  <si>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</si>
  <si>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</si>
  <si>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</si>
  <si>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</si>
  <si>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</si>
  <si>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</si>
  <si>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</si>
  <si>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</si>
  <si>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</si>
  <si>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</si>
  <si>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</si>
  <si>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</si>
  <si>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</si>
  <si>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</si>
  <si>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</si>
  <si>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</si>
  <si>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</si>
  <si>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</si>
  <si>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</si>
  <si>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</si>
  <si>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</si>
  <si>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</si>
  <si>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</si>
  <si>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</si>
  <si>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</si>
  <si>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</si>
  <si>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</si>
  <si>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</si>
  <si>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</si>
  <si>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</si>
  <si>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</si>
  <si>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</si>
  <si>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</si>
  <si>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</si>
  <si>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</si>
  <si>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</si>
  <si>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</si>
  <si>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</si>
  <si>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</si>
  <si>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</si>
  <si>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</si>
  <si>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</si>
  <si>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</si>
  <si>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</si>
  <si>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</si>
  <si>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</si>
  <si>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</si>
  <si>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</si>
  <si>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</si>
  <si>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</si>
  <si>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</si>
  <si>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</si>
  <si>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</si>
  <si>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</si>
  <si>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</si>
  <si>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</si>
  <si>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</si>
  <si>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</si>
  <si>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</si>
  <si>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</si>
  <si>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</si>
  <si>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</si>
  <si>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</si>
  <si>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</si>
  <si>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</si>
  <si>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</si>
  <si>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</si>
  <si>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</si>
  <si>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</si>
  <si>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</si>
  <si>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</si>
  <si>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</si>
  <si>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</si>
  <si>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</si>
  <si>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</si>
  <si>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</si>
  <si>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</si>
  <si>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</si>
  <si>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</si>
  <si>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</si>
  <si>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</si>
  <si>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</si>
  <si>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</si>
  <si>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</si>
  <si>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</si>
  <si>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</si>
  <si>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</si>
  <si>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</si>
  <si>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</si>
  <si>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</si>
  <si>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</si>
  <si>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</si>
  <si>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</si>
  <si>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</si>
  <si>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</si>
  <si>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</si>
  <si>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</si>
  <si>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</si>
  <si>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</si>
  <si>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</si>
  <si>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</si>
  <si>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</si>
  <si>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</si>
  <si>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</si>
  <si>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</si>
  <si>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</si>
  <si>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</si>
  <si>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</si>
  <si>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</si>
  <si>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</si>
  <si>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</si>
  <si>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</si>
  <si>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</si>
  <si>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</si>
  <si>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</si>
  <si>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</si>
  <si>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</si>
  <si>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</si>
  <si>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</si>
  <si>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</si>
  <si>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</si>
  <si>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</si>
  <si>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</si>
  <si>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</si>
  <si>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</si>
  <si>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</si>
  <si>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</si>
  <si>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</si>
  <si>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</si>
  <si>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</si>
  <si>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</si>
  <si>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</si>
  <si>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</si>
  <si>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</si>
  <si>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</si>
  <si>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</si>
  <si>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</si>
  <si>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</si>
  <si>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</si>
  <si>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</si>
  <si>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</si>
  <si>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</si>
  <si>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</si>
  <si>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</si>
  <si>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</si>
  <si>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</si>
  <si>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</si>
  <si>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</si>
  <si>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</si>
  <si>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</si>
  <si>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</si>
  <si>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</si>
  <si>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</si>
  <si>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</si>
  <si>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</si>
  <si>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</si>
  <si>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</si>
  <si>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</si>
  <si>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</si>
  <si>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</si>
  <si>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</si>
  <si>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</si>
  <si>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</si>
  <si>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</si>
  <si>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</si>
  <si>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</si>
  <si>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</si>
  <si>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</si>
  <si>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</si>
  <si>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</si>
  <si>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</si>
  <si>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</si>
  <si>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</si>
  <si>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</si>
  <si>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</si>
  <si>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</si>
  <si>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</si>
  <si>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</si>
  <si>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</si>
  <si>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</si>
  <si>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</si>
  <si>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</si>
  <si>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</si>
  <si>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</si>
  <si>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</si>
  <si>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</si>
  <si>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</si>
  <si>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</si>
  <si>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</si>
  <si>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</si>
  <si>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</si>
  <si>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</si>
  <si>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</si>
  <si>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</si>
  <si>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</si>
  <si>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</si>
  <si>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</si>
  <si>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</si>
  <si>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</si>
  <si>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</si>
  <si>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</si>
  <si>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</si>
  <si>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</si>
  <si>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</si>
  <si>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</si>
  <si>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</si>
  <si>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</si>
  <si>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</si>
  <si>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</si>
  <si>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</si>
  <si>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</si>
  <si>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</si>
  <si>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</si>
  <si>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</si>
  <si>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</si>
  <si>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</si>
  <si>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</si>
  <si>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</si>
  <si>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</si>
  <si>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</si>
  <si>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</si>
  <si>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</si>
  <si>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</si>
  <si>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</si>
  <si>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</si>
  <si>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</si>
  <si>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</si>
  <si>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</si>
  <si>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</si>
  <si>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</si>
  <si>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</si>
  <si>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</si>
  <si>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</si>
  <si>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</si>
  <si>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</si>
  <si>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</si>
  <si>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</si>
  <si>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</si>
  <si>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</si>
  <si>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</si>
  <si>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</si>
  <si>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</si>
  <si>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</si>
  <si>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</si>
  <si>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</si>
  <si>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</si>
  <si>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</si>
  <si>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</si>
  <si>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</si>
  <si>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</si>
  <si>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</si>
  <si>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</si>
  <si>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</si>
  <si>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</si>
  <si>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</si>
  <si>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</si>
  <si>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</si>
  <si>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</si>
  <si>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</si>
  <si>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</si>
  <si>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</si>
  <si>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</si>
  <si>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</si>
  <si>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</si>
  <si>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LHDL Releve 5 (seepage)</t>
  </si>
  <si>
    <t>D6r, D4-3r, D2-1a, C1-2b</t>
  </si>
  <si>
    <t>Sambucus sp.</t>
  </si>
  <si>
    <t>Ribes sp.</t>
  </si>
  <si>
    <t>F1-2r</t>
  </si>
  <si>
    <t>Viola sp.</t>
  </si>
  <si>
    <t>Galearis spectabilis c.f.</t>
  </si>
  <si>
    <t>Symphyotrichum spp. 2</t>
  </si>
  <si>
    <t>Dryopteris cf. carthusiana</t>
  </si>
  <si>
    <t>Solidago cf. canadensis</t>
  </si>
  <si>
    <t>G1-3c</t>
  </si>
  <si>
    <t>Carex sp.</t>
  </si>
  <si>
    <t>Eleocharis sp.</t>
  </si>
  <si>
    <t>LHDL52021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</si>
</sst>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50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4" fillId="0" borderId="25" xfId="1" applyFont="1" applyBorder="1" applyAlignment="1">
      <alignment horizontal="left"/>
    </xf>
    <xf numFmtId="0" fontId="4" fillId="0" borderId="26" xfId="1" applyFont="1" applyBorder="1"/>
    <xf numFmtId="0" fontId="4" fillId="0" borderId="25" xfId="0" applyFont="1" applyBorder="1"/>
    <xf numFmtId="0" fontId="4" fillId="0" borderId="33" xfId="1" applyFont="1" applyBorder="1"/>
    <xf numFmtId="0" fontId="4" fillId="0" borderId="0" xfId="1" applyFont="1"/>
    <xf numFmtId="0" fontId="4" fillId="0" borderId="34" xfId="1" applyFont="1" applyBorder="1"/>
    <xf numFmtId="0" fontId="4" fillId="0" borderId="34" xfId="1" applyFont="1" applyBorder="1" applyAlignment="1">
      <alignment horizontal="left"/>
    </xf>
    <xf numFmtId="0" fontId="37" fillId="0" borderId="0" xfId="0" applyFont="1" applyAlignment="1">
      <alignment horizontal="left"/>
    </xf>
    <xf numFmtId="0" fontId="4" fillId="0" borderId="35" xfId="1" applyFont="1" applyBorder="1"/>
    <xf numFmtId="0" fontId="8" fillId="0" borderId="25" xfId="1" applyBorder="1" applyAlignment="1">
      <alignment horizontal="left"/>
    </xf>
    <xf numFmtId="0" fontId="8" fillId="0" borderId="26" xfId="1" applyBorder="1" applyAlignment="1">
      <alignment horizontal="left"/>
    </xf>
    <xf numFmtId="0" fontId="8" fillId="0" borderId="25" xfId="0" applyFont="1" applyBorder="1"/>
    <xf numFmtId="0" fontId="8" fillId="0" borderId="25" xfId="1" applyBorder="1"/>
    <xf numFmtId="0" fontId="8" fillId="0" borderId="36" xfId="1" applyBorder="1"/>
    <xf numFmtId="0" fontId="8" fillId="0" borderId="34" xfId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8" sqref="B8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6" t="s">
        <v>57</v>
      </c>
      <c r="B2" s="136"/>
      <c r="C2" s="136"/>
      <c r="D2" s="136"/>
      <c r="E2" s="136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8" t="s">
        <v>5401</v>
      </c>
      <c r="B22" s="138"/>
      <c r="C22" s="138"/>
      <c r="D22" s="138"/>
      <c r="E22" s="138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7" t="s">
        <v>5402</v>
      </c>
      <c r="B24" s="137"/>
      <c r="C24" s="137"/>
      <c r="D24" s="137"/>
      <c r="E24" s="137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7" t="s">
        <v>61</v>
      </c>
      <c r="B39" s="137"/>
      <c r="C39" s="137"/>
      <c r="D39" s="137"/>
      <c r="E39" s="137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7" t="s">
        <v>62</v>
      </c>
      <c r="B45" s="137"/>
      <c r="C45" s="137"/>
      <c r="D45" s="137"/>
      <c r="E45" s="137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32" t="s">
        <v>43</v>
      </c>
      <c r="B93" s="133"/>
      <c r="C93" s="135"/>
      <c r="D93" s="139" t="s">
        <v>44</v>
      </c>
      <c r="E93" s="134"/>
    </row>
    <row r="94" spans="1:5" x14ac:dyDescent="0.2">
      <c r="A94" s="73" t="s">
        <v>23</v>
      </c>
      <c r="B94" s="130" t="s">
        <v>30</v>
      </c>
      <c r="C94" s="131"/>
      <c r="D94" s="3" t="s">
        <v>46</v>
      </c>
      <c r="E94" s="9">
        <v>8</v>
      </c>
    </row>
    <row r="95" spans="1:5" x14ac:dyDescent="0.2">
      <c r="A95" s="73" t="s">
        <v>24</v>
      </c>
      <c r="B95" s="126" t="s">
        <v>31</v>
      </c>
      <c r="C95" s="127"/>
      <c r="D95" s="3" t="s">
        <v>47</v>
      </c>
      <c r="E95" s="9">
        <v>7</v>
      </c>
    </row>
    <row r="96" spans="1:5" x14ac:dyDescent="0.2">
      <c r="A96" s="73" t="s">
        <v>3</v>
      </c>
      <c r="B96" s="126" t="s">
        <v>32</v>
      </c>
      <c r="C96" s="127"/>
      <c r="D96" s="3" t="s">
        <v>48</v>
      </c>
      <c r="E96" s="9">
        <v>6</v>
      </c>
    </row>
    <row r="97" spans="1:5" x14ac:dyDescent="0.2">
      <c r="A97" s="73" t="s">
        <v>25</v>
      </c>
      <c r="B97" s="126" t="s">
        <v>33</v>
      </c>
      <c r="C97" s="127"/>
      <c r="D97" s="3" t="s">
        <v>49</v>
      </c>
      <c r="E97" s="9">
        <v>5</v>
      </c>
    </row>
    <row r="98" spans="1:5" x14ac:dyDescent="0.2">
      <c r="A98" s="73" t="s">
        <v>26</v>
      </c>
      <c r="B98" s="126" t="s">
        <v>34</v>
      </c>
      <c r="C98" s="127"/>
      <c r="D98" s="3" t="s">
        <v>50</v>
      </c>
      <c r="E98" s="9">
        <v>4</v>
      </c>
    </row>
    <row r="99" spans="1:5" x14ac:dyDescent="0.2">
      <c r="A99" s="73" t="s">
        <v>27</v>
      </c>
      <c r="B99" s="126" t="s">
        <v>35</v>
      </c>
      <c r="C99" s="127"/>
      <c r="D99" s="3" t="s">
        <v>4</v>
      </c>
      <c r="E99" s="9">
        <v>3</v>
      </c>
    </row>
    <row r="100" spans="1:5" x14ac:dyDescent="0.2">
      <c r="A100" s="73" t="s">
        <v>2</v>
      </c>
      <c r="B100" s="126" t="s">
        <v>36</v>
      </c>
      <c r="C100" s="127"/>
      <c r="D100" s="3" t="s">
        <v>5</v>
      </c>
      <c r="E100" s="9">
        <v>2</v>
      </c>
    </row>
    <row r="101" spans="1:5" x14ac:dyDescent="0.2">
      <c r="A101" s="73" t="s">
        <v>28</v>
      </c>
      <c r="B101" s="126" t="s">
        <v>37</v>
      </c>
      <c r="C101" s="127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8" t="s">
        <v>38</v>
      </c>
      <c r="C102" s="129"/>
      <c r="D102" s="5"/>
      <c r="E102" s="8"/>
    </row>
    <row r="103" spans="1:5" ht="13.2" thickBot="1" x14ac:dyDescent="0.25">
      <c r="A103" s="132" t="s">
        <v>68</v>
      </c>
      <c r="B103" s="133"/>
      <c r="C103" s="135"/>
      <c r="D103" s="139" t="s">
        <v>45</v>
      </c>
      <c r="E103" s="134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32" t="s">
        <v>21</v>
      </c>
      <c r="B112" s="133"/>
      <c r="C112" s="134"/>
    </row>
    <row r="113" spans="1:3" x14ac:dyDescent="0.2">
      <c r="A113" s="73">
        <v>1</v>
      </c>
      <c r="B113" s="130" t="s">
        <v>40</v>
      </c>
      <c r="C113" s="131"/>
    </row>
    <row r="114" spans="1:3" x14ac:dyDescent="0.2">
      <c r="A114" s="73" t="s">
        <v>39</v>
      </c>
      <c r="B114" s="126" t="s">
        <v>41</v>
      </c>
      <c r="C114" s="127"/>
    </row>
    <row r="115" spans="1:3" x14ac:dyDescent="0.2">
      <c r="A115" s="74" t="s">
        <v>15</v>
      </c>
      <c r="B115" s="124" t="s">
        <v>42</v>
      </c>
      <c r="C115" s="125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6" t="s">
        <v>127</v>
      </c>
      <c r="B1" s="136"/>
      <c r="C1" s="136"/>
      <c r="D1" s="136"/>
      <c r="E1" s="136"/>
      <c r="F1" s="136"/>
      <c r="G1" s="136"/>
      <c r="H1" s="14"/>
    </row>
    <row r="2" spans="1:14" x14ac:dyDescent="0.2">
      <c r="A2" s="142" t="s">
        <v>138</v>
      </c>
      <c r="B2" s="142"/>
      <c r="C2" s="15"/>
      <c r="D2" s="15"/>
      <c r="E2" s="15"/>
      <c r="F2" s="15"/>
      <c r="G2" s="15"/>
      <c r="H2" s="15"/>
    </row>
    <row r="3" spans="1:14" x14ac:dyDescent="0.2">
      <c r="A3" s="143" t="s">
        <v>52</v>
      </c>
      <c r="B3" s="143"/>
      <c r="C3" s="15"/>
      <c r="D3" s="15"/>
      <c r="E3" s="15"/>
      <c r="F3" s="15"/>
      <c r="G3" s="15"/>
      <c r="H3" s="15"/>
    </row>
    <row r="4" spans="1:14" x14ac:dyDescent="0.2">
      <c r="A4" s="143" t="s">
        <v>55</v>
      </c>
      <c r="B4" s="143"/>
      <c r="C4" s="15"/>
      <c r="D4" s="15"/>
      <c r="E4" s="15"/>
      <c r="F4" s="15"/>
      <c r="G4" s="15"/>
      <c r="H4" s="15"/>
    </row>
    <row r="5" spans="1:14" x14ac:dyDescent="0.2">
      <c r="A5" s="143" t="s">
        <v>51</v>
      </c>
      <c r="B5" s="143"/>
      <c r="C5" s="15"/>
      <c r="D5" s="15"/>
      <c r="E5" s="15"/>
      <c r="F5" s="15"/>
      <c r="G5" s="15"/>
      <c r="H5" s="15"/>
    </row>
    <row r="6" spans="1:14" x14ac:dyDescent="0.2">
      <c r="A6" s="140" t="s">
        <v>128</v>
      </c>
      <c r="B6" s="140"/>
    </row>
    <row r="7" spans="1:14" x14ac:dyDescent="0.2">
      <c r="A7" s="140" t="s">
        <v>129</v>
      </c>
      <c r="B7" s="140"/>
      <c r="C7" s="141"/>
      <c r="D7" s="141"/>
      <c r="E7" s="141"/>
      <c r="F7" s="141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1008" zoomScale="70" zoomScaleNormal="70" workbookViewId="0">
      <selection activeCell="A2569" sqref="A2569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4" t="s">
        <v>127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">
      <c r="A2" s="89" t="s">
        <v>138</v>
      </c>
      <c r="B2" s="47"/>
      <c r="C2" s="46" t="s">
        <v>5452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5"/>
      <c r="C7" s="145"/>
      <c r="D7" s="145"/>
      <c r="E7" s="145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5440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162</v>
      </c>
      <c r="B12" s="44" t="str">
        <f>IF(LEN(VLOOKUP(A12,'Species List'!$A:$G,2,FALSE))=0,"",VLOOKUP(A12,'Species List'!$A:$G,2,FALSE))</f>
        <v>box elder</v>
      </c>
      <c r="C12" s="44">
        <f>IF(LEN(VLOOKUP(A12,'Species List'!$A:$G,3,FALSE))=0,"",VLOOKUP(A12,'Species List'!$A:$G,3,FALSE))</f>
        <v>1</v>
      </c>
      <c r="D12" s="103">
        <f>VALUE(C12)</f>
        <v>1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FACW-</v>
      </c>
      <c r="H12" s="44">
        <f>VLOOKUP(A12,'Species List'!$A:$G,7,FALSE)</f>
        <v>0</v>
      </c>
      <c r="J12" s="95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75" si="0">L12/$L$151</f>
        <v>0.22058823529411764</v>
      </c>
      <c r="O12" s="88">
        <f>D12*N12</f>
        <v>0.22058823529411764</v>
      </c>
    </row>
    <row r="13" spans="1:15" x14ac:dyDescent="0.2">
      <c r="A13" s="109" t="s">
        <v>3757</v>
      </c>
      <c r="B13" s="44" t="str">
        <f>IF(LEN(VLOOKUP(A13,'Species List'!$A:$G,2,FALSE))=0,"",VLOOKUP(A13,'Species List'!$A:$G,2,FALSE))</f>
        <v>common buckthorn</v>
      </c>
      <c r="C13" s="44">
        <f>IF(LEN(VLOOKUP(A13,'Species List'!$A:$G,3,FALSE))=0,"",VLOOKUP(A13,'Species List'!$A:$G,3,FALSE))</f>
        <v>0</v>
      </c>
      <c r="D13" s="103">
        <f t="shared" ref="D13:D76" si="1">VALUE(C13)</f>
        <v>0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95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88">
        <f t="shared" si="0"/>
        <v>4.4117647058823532E-2</v>
      </c>
      <c r="O13" s="102">
        <f t="shared" ref="O13:O76" si="3">D13*N13</f>
        <v>0</v>
      </c>
    </row>
    <row r="14" spans="1:15" x14ac:dyDescent="0.2">
      <c r="A14" s="108" t="s">
        <v>3538</v>
      </c>
      <c r="B14" s="44" t="str">
        <f>IF(LEN(VLOOKUP(A14,'Species List'!$A:$G,2,FALSE))=0,"",VLOOKUP(A14,'Species List'!$A:$G,2,FALSE))</f>
        <v>quaking aspen</v>
      </c>
      <c r="C14" s="44">
        <f>IF(LEN(VLOOKUP(A14,'Species List'!$A:$G,3,FALSE))=0,"",VLOOKUP(A14,'Species List'!$A:$G,3,FALSE))</f>
        <v>2</v>
      </c>
      <c r="D14" s="103">
        <f t="shared" si="1"/>
        <v>2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[FAC]</v>
      </c>
      <c r="H14" s="44">
        <f>VLOOKUP(A14,'Species List'!$A:$G,7,FALSE)</f>
        <v>0</v>
      </c>
      <c r="J14" s="95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88">
        <f t="shared" si="0"/>
        <v>4.4117647058823532E-2</v>
      </c>
      <c r="O14" s="102">
        <f t="shared" si="3"/>
        <v>8.8235294117647065E-2</v>
      </c>
    </row>
    <row r="15" spans="1:15" x14ac:dyDescent="0.2">
      <c r="A15" s="109" t="s">
        <v>2139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[FAC+]</v>
      </c>
      <c r="H15" s="44">
        <f>VLOOKUP(A15,'Species List'!$A:$G,7,FALSE)</f>
        <v>0</v>
      </c>
      <c r="J15" s="95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88">
        <f t="shared" si="0"/>
        <v>4.4117647058823532E-2</v>
      </c>
      <c r="O15" s="102">
        <f t="shared" si="3"/>
        <v>0</v>
      </c>
    </row>
    <row r="16" spans="1:15" x14ac:dyDescent="0.2">
      <c r="A16" s="108" t="s">
        <v>4598</v>
      </c>
      <c r="B16" s="44" t="str">
        <f>IF(LEN(VLOOKUP(A16,'Species List'!$A:$G,2,FALSE))=0,"",VLOOKUP(A16,'Species List'!$A:$G,2,FALSE))</f>
        <v>American elm</v>
      </c>
      <c r="C16" s="44">
        <f>IF(LEN(VLOOKUP(A16,'Species List'!$A:$G,3,FALSE))=0,"",VLOOKUP(A16,'Species List'!$A:$G,3,FALSE))</f>
        <v>3</v>
      </c>
      <c r="D16" s="103">
        <f t="shared" si="1"/>
        <v>3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FACW-</v>
      </c>
      <c r="H16" s="44">
        <f>VLOOKUP(A16,'Species List'!$A:$G,7,FALSE)</f>
        <v>0</v>
      </c>
      <c r="J16" s="9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4.4117647058823532E-2</v>
      </c>
      <c r="O16" s="102">
        <f t="shared" si="3"/>
        <v>0.13235294117647059</v>
      </c>
    </row>
    <row r="17" spans="1:15" x14ac:dyDescent="0.2">
      <c r="A17" s="110" t="s">
        <v>1461</v>
      </c>
      <c r="B17" s="44" t="str">
        <f>IF(LEN(VLOOKUP(A17,'Species List'!$A:$G,2,FALSE))=0,"",VLOOKUP(A17,'Species List'!$A:$G,2,FALSE))</f>
        <v>gray dogwood</v>
      </c>
      <c r="C17" s="44">
        <f>IF(LEN(VLOOKUP(A17,'Species List'!$A:$G,3,FALSE))=0,"",VLOOKUP(A17,'Species List'!$A:$G,3,FALSE))</f>
        <v>2</v>
      </c>
      <c r="D17" s="103">
        <f t="shared" si="1"/>
        <v>2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[FACW-]</v>
      </c>
      <c r="H17" s="44">
        <f>VLOOKUP(A17,'Species List'!$A:$G,7,FALSE)</f>
        <v>0</v>
      </c>
      <c r="J17" s="95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4.4117647058823532E-2</v>
      </c>
      <c r="O17" s="102">
        <f t="shared" si="3"/>
        <v>8.8235294117647065E-2</v>
      </c>
    </row>
    <row r="18" spans="1:15" ht="13.2" x14ac:dyDescent="0.25">
      <c r="A18" s="36" t="s">
        <v>3847</v>
      </c>
      <c r="B18" s="44" t="str">
        <f>IF(LEN(VLOOKUP(A18,'Species List'!$A:$G,2,FALSE))=0,"",VLOOKUP(A18,'Species List'!$A:$G,2,FALSE))</f>
        <v>northern dewberry</v>
      </c>
      <c r="C18" s="44">
        <v>3</v>
      </c>
      <c r="D18" s="103">
        <f t="shared" si="1"/>
        <v>3</v>
      </c>
      <c r="E18" s="44" t="str">
        <f>IF(LEN(VLOOKUP(A18,'Species List'!$A:$G,4,FALSE))=0,"",VLOOKUP(A18,'Species List'!$A:$G,4,FALSE))</f>
        <v>D</v>
      </c>
      <c r="F18" s="44" t="s">
        <v>147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95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4.4117647058823532E-2</v>
      </c>
      <c r="O18" s="102">
        <f t="shared" si="3"/>
        <v>0.13235294117647059</v>
      </c>
    </row>
    <row r="19" spans="1:15" x14ac:dyDescent="0.2">
      <c r="A19" s="109" t="s">
        <v>3851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4.4117647058823532E-2</v>
      </c>
      <c r="O19" s="102">
        <f t="shared" si="3"/>
        <v>0.13235294117647059</v>
      </c>
    </row>
    <row r="20" spans="1:15" x14ac:dyDescent="0.2">
      <c r="A20" s="109" t="s">
        <v>3656</v>
      </c>
      <c r="B20" s="44" t="str">
        <f>IF(LEN(VLOOKUP(A20,'Species List'!$A:$G,2,FALSE))=0,"",VLOOKUP(A20,'Species List'!$A:$G,2,FALSE))</f>
        <v>black cherry</v>
      </c>
      <c r="C20" s="44">
        <f>IF(LEN(VLOOKUP(A20,'Species List'!$A:$G,3,FALSE))=0,"",VLOOKUP(A20,'Species List'!$A:$G,3,FALSE))</f>
        <v>4</v>
      </c>
      <c r="D20" s="103">
        <f t="shared" si="1"/>
        <v>4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[FACU]</v>
      </c>
      <c r="H20" s="44">
        <f>VLOOKUP(A20,'Species List'!$A:$G,7,FALSE)</f>
        <v>0</v>
      </c>
      <c r="J20" s="9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4.4117647058823532E-2</v>
      </c>
      <c r="O20" s="102">
        <f t="shared" si="3"/>
        <v>0.17647058823529413</v>
      </c>
    </row>
    <row r="21" spans="1:15" x14ac:dyDescent="0.2">
      <c r="A21" s="108" t="s">
        <v>159</v>
      </c>
      <c r="B21" s="44" t="str">
        <f>IF(LEN(VLOOKUP(A21,'Species List'!$A:$G,2,FALSE))=0,"",VLOOKUP(A21,'Species List'!$A:$G,2,FALSE))</f>
        <v>amur maple</v>
      </c>
      <c r="C21" s="44">
        <f>IF(LEN(VLOOKUP(A21,'Species List'!$A:$G,3,FALSE))=0,"",VLOOKUP(A21,'Species List'!$A:$G,3,FALSE))</f>
        <v>0</v>
      </c>
      <c r="D21" s="103">
        <f t="shared" si="1"/>
        <v>0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Introduced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4.4117647058823532E-2</v>
      </c>
      <c r="O21" s="102">
        <f t="shared" si="3"/>
        <v>0</v>
      </c>
    </row>
    <row r="22" spans="1:15" x14ac:dyDescent="0.2">
      <c r="A22" s="108" t="s">
        <v>3777</v>
      </c>
      <c r="B22" s="44" t="str">
        <f>IF(LEN(VLOOKUP(A22,'Species List'!$A:$G,2,FALSE))=0,"",VLOOKUP(A22,'Species List'!$A:$G,2,FALSE))</f>
        <v>wild black currant</v>
      </c>
      <c r="C22" s="44">
        <f>IF(LEN(VLOOKUP(A22,'Species List'!$A:$G,3,FALSE))=0,"",VLOOKUP(A22,'Species List'!$A:$G,3,FALSE))</f>
        <v>4</v>
      </c>
      <c r="D22" s="103">
        <f t="shared" si="1"/>
        <v>4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4.4117647058823532E-2</v>
      </c>
      <c r="O22" s="102">
        <f t="shared" si="3"/>
        <v>0.17647058823529413</v>
      </c>
    </row>
    <row r="23" spans="1:15" ht="13.2" x14ac:dyDescent="0.25">
      <c r="A23" s="36" t="s">
        <v>3838</v>
      </c>
      <c r="B23" s="44" t="str">
        <f>IF(LEN(VLOOKUP(A23,'Species List'!$A:$G,2,FALSE))=0,"",VLOOKUP(A23,'Species List'!$A:$G,2,FALSE))</f>
        <v>Allegheny blackberry</v>
      </c>
      <c r="C23" s="44">
        <f>IF(LEN(VLOOKUP(A23,'Species List'!$A:$G,3,FALSE))=0,"",VLOOKUP(A23,'Species List'!$A:$G,3,FALSE))</f>
        <v>2</v>
      </c>
      <c r="D23" s="103">
        <f t="shared" si="1"/>
        <v>2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[FACU+]</v>
      </c>
      <c r="H23" s="44">
        <f>VLOOKUP(A23,'Species List'!$A:$G,7,FALSE)</f>
        <v>0</v>
      </c>
      <c r="J23" s="95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4.4117647058823532E-2</v>
      </c>
      <c r="O23" s="102">
        <f t="shared" si="3"/>
        <v>8.8235294117647065E-2</v>
      </c>
    </row>
    <row r="24" spans="1:15" x14ac:dyDescent="0.2">
      <c r="A24" s="108" t="s">
        <v>4817</v>
      </c>
      <c r="B24" s="44" t="str">
        <f>IF(LEN(VLOOKUP(A24,'Species List'!$A:$G,2,FALSE))=0,"",VLOOKUP(A24,'Species List'!$A:$G,2,FALSE))</f>
        <v>prickly ash</v>
      </c>
      <c r="C24" s="44">
        <f>IF(LEN(VLOOKUP(A24,'Species List'!$A:$G,3,FALSE))=0,"",VLOOKUP(A24,'Species List'!$A:$G,3,FALSE))</f>
        <v>3</v>
      </c>
      <c r="D24" s="103">
        <f t="shared" si="1"/>
        <v>3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95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2"/>
        <v>3</v>
      </c>
      <c r="N24" s="88">
        <f t="shared" si="0"/>
        <v>4.4117647058823532E-2</v>
      </c>
      <c r="O24" s="102">
        <f t="shared" si="3"/>
        <v>0.13235294117647059</v>
      </c>
    </row>
    <row r="25" spans="1:15" x14ac:dyDescent="0.2">
      <c r="A25" s="108" t="s">
        <v>5433</v>
      </c>
      <c r="B25" s="44" t="str">
        <f>IF(LEN(VLOOKUP(A25,'Species List'!$A:$G,2,FALSE))=0,"",VLOOKUP(A25,'Species List'!$A:$G,2,FALSE))</f>
        <v>woodbine</v>
      </c>
      <c r="C25" s="44">
        <f>IF(LEN(VLOOKUP(A25,'Species List'!$A:$G,3,FALSE))=0,"",VLOOKUP(A25,'Species List'!$A:$G,3,FALSE))</f>
        <v>2</v>
      </c>
      <c r="D25" s="103">
        <f t="shared" si="1"/>
        <v>2</v>
      </c>
      <c r="E25" s="44" t="str">
        <f>IF(LEN(VLOOKUP(A25,'Species List'!$A:$G,4,FALSE))=0,"",VLOOKUP(A25,'Species List'!$A:$G,4,FALSE))</f>
        <v>C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</v>
      </c>
      <c r="H25" s="44">
        <f>VLOOKUP(A25,'Species List'!$A:$G,7,FALSE)</f>
        <v>0</v>
      </c>
      <c r="J25" s="95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4.4117647058823532E-2</v>
      </c>
      <c r="O25" s="102">
        <f t="shared" si="3"/>
        <v>8.8235294117647065E-2</v>
      </c>
    </row>
    <row r="26" spans="1:15" x14ac:dyDescent="0.2">
      <c r="A26" s="108" t="s">
        <v>4768</v>
      </c>
      <c r="B26" s="44" t="str">
        <f>IF(LEN(VLOOKUP(A26,'Species List'!$A:$G,2,FALSE))=0,"",VLOOKUP(A26,'Species List'!$A:$G,2,FALSE))</f>
        <v>wild grape</v>
      </c>
      <c r="C26" s="44">
        <f>IF(LEN(VLOOKUP(A26,'Species List'!$A:$G,3,FALSE))=0,"",VLOOKUP(A26,'Species List'!$A:$G,3,FALSE))</f>
        <v>2</v>
      </c>
      <c r="D26" s="103">
        <f t="shared" si="1"/>
        <v>2</v>
      </c>
      <c r="E26" s="44" t="str">
        <f>IF(LEN(VLOOKUP(A26,'Species List'!$A:$G,4,FALSE))=0,"",VLOOKUP(A26,'Species List'!$A:$G,4,FALSE))</f>
        <v>C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FACW-</v>
      </c>
      <c r="H26" s="44">
        <f>VLOOKUP(A26,'Species List'!$A:$G,7,FALSE)</f>
        <v>0</v>
      </c>
      <c r="J26" s="95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4.4117647058823532E-2</v>
      </c>
      <c r="O26" s="102">
        <f t="shared" si="3"/>
        <v>8.8235294117647065E-2</v>
      </c>
    </row>
    <row r="27" spans="1:15" x14ac:dyDescent="0.2">
      <c r="A27" s="108" t="s">
        <v>3213</v>
      </c>
      <c r="B27" s="44" t="str">
        <f>IF(LEN(VLOOKUP(A27,'Species List'!$A:$G,2,FALSE))=0,"",VLOOKUP(A27,'Species List'!$A:$G,2,FALSE))</f>
        <v>Virginia creeper</v>
      </c>
      <c r="C27" s="44">
        <v>3</v>
      </c>
      <c r="D27" s="103">
        <f t="shared" si="1"/>
        <v>3</v>
      </c>
      <c r="E27" s="44" t="str">
        <f>IF(LEN(VLOOKUP(A27,'Species List'!$A:$G,4,FALSE))=0,"",VLOOKUP(A27,'Species List'!$A:$G,4,FALSE))</f>
        <v>C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FAC-</v>
      </c>
      <c r="H27" s="44">
        <f>VLOOKUP(A27,'Species List'!$A:$G,7,FALSE)</f>
        <v>0</v>
      </c>
      <c r="J27" s="95" t="s">
        <v>5420</v>
      </c>
      <c r="K27" s="47" t="str">
        <f>VLOOKUP(J27,'Species List'!$H$1:$J$9,2,FALSE)</f>
        <v>&gt;0-1%</v>
      </c>
      <c r="L27" s="47">
        <f>VLOOKUP(K27,'Species List'!$I$1:$N$8,2,FALSE)</f>
        <v>0.5</v>
      </c>
      <c r="M27" s="104">
        <f t="shared" si="2"/>
        <v>0.5</v>
      </c>
      <c r="N27" s="88">
        <f t="shared" si="0"/>
        <v>7.3529411764705881E-3</v>
      </c>
      <c r="O27" s="102">
        <f t="shared" si="3"/>
        <v>2.2058823529411763E-2</v>
      </c>
    </row>
    <row r="28" spans="1:15" x14ac:dyDescent="0.2">
      <c r="A28" s="108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109" t="s">
        <v>3691</v>
      </c>
      <c r="B29" s="44" t="str">
        <f>IF(LEN(VLOOKUP(A29,'Species List'!$A:$G,2,FALSE))=0,"",VLOOKUP(A29,'Species List'!$A:$G,2,FALSE))</f>
        <v>northern pin oak</v>
      </c>
      <c r="C29" s="44">
        <f>IF(LEN(VLOOKUP(A29,'Species List'!$A:$G,3,FALSE))=0,"",VLOOKUP(A29,'Species List'!$A:$G,3,FALSE))</f>
        <v>5</v>
      </c>
      <c r="D29" s="103">
        <f t="shared" si="1"/>
        <v>5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J29" s="95" t="s">
        <v>5420</v>
      </c>
      <c r="K29" s="47" t="str">
        <f>VLOOKUP(J29,'Species List'!$H$1:$J$9,2,FALSE)</f>
        <v>&gt;0-1%</v>
      </c>
      <c r="L29" s="47">
        <f>VLOOKUP(K29,'Species List'!$I$1:$N$8,2,FALSE)</f>
        <v>0.5</v>
      </c>
      <c r="M29" s="104">
        <f t="shared" si="2"/>
        <v>0.5</v>
      </c>
      <c r="N29" s="88">
        <f t="shared" si="0"/>
        <v>7.3529411764705881E-3</v>
      </c>
      <c r="O29" s="102">
        <f t="shared" si="3"/>
        <v>3.6764705882352942E-2</v>
      </c>
    </row>
    <row r="30" spans="1:15" x14ac:dyDescent="0.2">
      <c r="A30" s="108" t="s">
        <v>5441</v>
      </c>
      <c r="B30" s="44" t="e">
        <f>IF(LEN(VLOOKUP(A30,'Species List'!$A:$G,2,FALSE))=0,"",VLOOKUP(A30,'Species List'!$A:$G,2,FALSE))</f>
        <v>#N/A</v>
      </c>
      <c r="C30" s="44">
        <v>3</v>
      </c>
      <c r="D30" s="103">
        <f t="shared" si="1"/>
        <v>3</v>
      </c>
      <c r="E30" s="44" t="e">
        <f>IF(LEN(VLOOKUP(A30,'Species List'!$A:$G,4,FALSE))=0,"",VLOOKUP(A30,'Species List'!$A:$G,4,FALSE))</f>
        <v>#N/A</v>
      </c>
      <c r="F30" s="44" t="s">
        <v>147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2"/>
        <v>3</v>
      </c>
      <c r="N30" s="88">
        <f t="shared" si="0"/>
        <v>4.4117647058823532E-2</v>
      </c>
      <c r="O30" s="102">
        <f t="shared" si="3"/>
        <v>0.13235294117647059</v>
      </c>
    </row>
    <row r="31" spans="1:15" x14ac:dyDescent="0.2">
      <c r="A31" s="108" t="s">
        <v>5442</v>
      </c>
      <c r="B31" s="44" t="e">
        <f>IF(LEN(VLOOKUP(A31,'Species List'!$A:$G,2,FALSE))=0,"",VLOOKUP(A31,'Species List'!$A:$G,2,FALSE))</f>
        <v>#N/A</v>
      </c>
      <c r="C31" s="44">
        <v>3</v>
      </c>
      <c r="D31" s="103">
        <f t="shared" si="1"/>
        <v>3</v>
      </c>
      <c r="E31" s="44" t="e">
        <f>IF(LEN(VLOOKUP(A31,'Species List'!$A:$G,4,FALSE))=0,"",VLOOKUP(A31,'Species List'!$A:$G,4,FALSE))</f>
        <v>#N/A</v>
      </c>
      <c r="F31" s="44" t="s">
        <v>147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2"/>
        <v>0.5</v>
      </c>
      <c r="N31" s="88">
        <f t="shared" si="0"/>
        <v>7.3529411764705881E-3</v>
      </c>
      <c r="O31" s="102">
        <f t="shared" si="3"/>
        <v>2.2058823529411763E-2</v>
      </c>
    </row>
    <row r="32" spans="1:15" x14ac:dyDescent="0.2">
      <c r="A32" s="108" t="s">
        <v>2145</v>
      </c>
      <c r="B32" s="44" t="str">
        <f>IF(LEN(VLOOKUP(A32,'Species List'!$A:$G,2,FALSE))=0,"",VLOOKUP(A32,'Species List'!$A:$G,2,FALSE))</f>
        <v>green ash</v>
      </c>
      <c r="C32" s="44">
        <f>IF(LEN(VLOOKUP(A32,'Species List'!$A:$G,3,FALSE))=0,"",VLOOKUP(A32,'Species List'!$A:$G,3,FALSE))</f>
        <v>2</v>
      </c>
      <c r="D32" s="103">
        <f t="shared" si="1"/>
        <v>2</v>
      </c>
      <c r="E32" s="44" t="str">
        <f>IF(LEN(VLOOKUP(A32,'Species List'!$A:$G,4,FALSE))=0,"",VLOOKUP(A32,'Species List'!$A:$G,4,FALSE))</f>
        <v>D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FACW</v>
      </c>
      <c r="H32" s="44">
        <f>VLOOKUP(A32,'Species List'!$A:$G,7,FALSE)</f>
        <v>0</v>
      </c>
      <c r="J32" s="95" t="s">
        <v>5420</v>
      </c>
      <c r="K32" s="47" t="str">
        <f>VLOOKUP(J32,'Species List'!$H$1:$J$9,2,FALSE)</f>
        <v>&gt;0-1%</v>
      </c>
      <c r="L32" s="47">
        <f>VLOOKUP(K32,'Species List'!$I$1:$N$8,2,FALSE)</f>
        <v>0.5</v>
      </c>
      <c r="M32" s="104">
        <f t="shared" si="2"/>
        <v>0.5</v>
      </c>
      <c r="N32" s="88">
        <f t="shared" si="0"/>
        <v>7.3529411764705881E-3</v>
      </c>
      <c r="O32" s="102">
        <f t="shared" si="3"/>
        <v>1.4705882352941176E-2</v>
      </c>
    </row>
    <row r="33" spans="1:15" x14ac:dyDescent="0.2">
      <c r="A33" s="108" t="s">
        <v>4600</v>
      </c>
      <c r="B33" s="44" t="str">
        <f>IF(LEN(VLOOKUP(A33,'Species List'!$A:$G,2,FALSE))=0,"",VLOOKUP(A33,'Species List'!$A:$G,2,FALSE))</f>
        <v>Siberian elm</v>
      </c>
      <c r="C33" s="44">
        <f>IF(LEN(VLOOKUP(A33,'Species List'!$A:$G,3,FALSE))=0,"",VLOOKUP(A33,'Species List'!$A:$G,3,FALSE))</f>
        <v>0</v>
      </c>
      <c r="D33" s="103">
        <f t="shared" si="1"/>
        <v>0</v>
      </c>
      <c r="E33" s="44" t="str">
        <f>IF(LEN(VLOOKUP(A33,'Species List'!$A:$G,4,FALSE))=0,"",VLOOKUP(A33,'Species List'!$A:$G,4,FALSE))</f>
        <v>D</v>
      </c>
      <c r="F33" s="44" t="str">
        <f>IF(LEN(VLOOKUP(A33,'Species List'!$A:$G,5,FALSE))=0,"",VLOOKUP(A33,'Species List'!$A:$G,5,FALSE))</f>
        <v>Introduced</v>
      </c>
      <c r="G33" s="44" t="str">
        <f>IF(LEN(VLOOKUP(A33,'Species List'!$A:$G,6,FALSE))=0,"",VLOOKUP(A33,'Species List'!$A:$G,6,FALSE))</f>
        <v>UPL</v>
      </c>
      <c r="H33" s="44">
        <f>VLOOKUP(A33,'Species List'!$A:$G,7,FALSE)</f>
        <v>0</v>
      </c>
      <c r="J33" s="95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2"/>
        <v>3</v>
      </c>
      <c r="N33" s="88">
        <f t="shared" si="0"/>
        <v>4.4117647058823532E-2</v>
      </c>
      <c r="O33" s="102">
        <f t="shared" si="3"/>
        <v>0</v>
      </c>
    </row>
    <row r="34" spans="1:15" x14ac:dyDescent="0.2">
      <c r="A34" s="108" t="s">
        <v>4703</v>
      </c>
      <c r="B34" s="44" t="str">
        <f>IF(LEN(VLOOKUP(A34,'Species List'!$A:$G,2,FALSE))=0,"",VLOOKUP(A34,'Species List'!$A:$G,2,FALSE))</f>
        <v/>
      </c>
      <c r="C34" s="44">
        <f>IF(LEN(VLOOKUP(A34,'Species List'!$A:$G,3,FALSE))=0,"",VLOOKUP(A34,'Species List'!$A:$G,3,FALSE))</f>
        <v>5</v>
      </c>
      <c r="D34" s="103">
        <f t="shared" si="1"/>
        <v>5</v>
      </c>
      <c r="E34" s="44" t="str">
        <f>IF(LEN(VLOOKUP(A34,'Species List'!$A:$G,4,FALSE))=0,"",VLOOKUP(A34,'Species List'!$A:$G,4,FALSE))</f>
        <v>D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[FACW]</v>
      </c>
      <c r="H34" s="44">
        <f>VLOOKUP(A34,'Species List'!$A:$G,7,FALSE)</f>
        <v>0</v>
      </c>
      <c r="J34" s="95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2"/>
        <v>3</v>
      </c>
      <c r="N34" s="88">
        <f t="shared" si="0"/>
        <v>4.4117647058823532E-2</v>
      </c>
      <c r="O34" s="102">
        <f t="shared" si="3"/>
        <v>0.22058823529411767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6" t="s">
        <v>5387</v>
      </c>
      <c r="J151" s="147"/>
      <c r="K151" s="148"/>
      <c r="L151" s="63">
        <f>SUMIF(L10:L150,"&gt;=0")</f>
        <v>68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28" workbookViewId="0">
      <selection activeCell="D15" sqref="D15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4" t="s">
        <v>127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5"/>
      <c r="C7" s="145"/>
      <c r="D7" s="145"/>
      <c r="E7" s="145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5443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1" t="s">
        <v>4605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1</v>
      </c>
      <c r="D12" s="103">
        <f>VALUE(C12)</f>
        <v>1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</v>
      </c>
      <c r="H12" s="44">
        <f>VLOOKUP(A12,'Species List'!$A:$G,7,FALSE)</f>
        <v>0</v>
      </c>
      <c r="J12" s="118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2.0066889632107024E-2</v>
      </c>
      <c r="O12" s="88">
        <f>D12*N12</f>
        <v>2.0066889632107024E-2</v>
      </c>
    </row>
    <row r="13" spans="1:15" x14ac:dyDescent="0.2">
      <c r="A13" s="108" t="s">
        <v>706</v>
      </c>
      <c r="B13" s="44" t="str">
        <f>IF(LEN(VLOOKUP(A13,'Species List'!$A:$G,2,FALSE))=0,"",VLOOKUP(A13,'Species List'!$A:$G,2,FALSE))</f>
        <v>false nettle</v>
      </c>
      <c r="C13" s="44">
        <f>IF(LEN(VLOOKUP(A13,'Species List'!$A:$G,3,FALSE))=0,"",VLOOKUP(A13,'Species List'!$A:$G,3,FALSE))</f>
        <v>5</v>
      </c>
      <c r="D13" s="103">
        <f t="shared" ref="D13:D76" si="0">VALUE(C13)</f>
        <v>5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OBL</v>
      </c>
      <c r="H13" s="44">
        <f>VLOOKUP(A13,'Species List'!$A:$G,7,FALSE)</f>
        <v>0</v>
      </c>
      <c r="J13" s="118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1">VALUE(L13)</f>
        <v>15</v>
      </c>
      <c r="N13" s="102">
        <f t="shared" ref="N13:N76" si="2">L13/$L$151</f>
        <v>0.10033444816053512</v>
      </c>
      <c r="O13" s="102">
        <f t="shared" ref="O13:O76" si="3">D13*N13</f>
        <v>0.50167224080267558</v>
      </c>
    </row>
    <row r="14" spans="1:15" x14ac:dyDescent="0.2">
      <c r="A14" s="108" t="s">
        <v>1373</v>
      </c>
      <c r="B14" s="44" t="str">
        <f>IF(LEN(VLOOKUP(A14,'Species List'!$A:$G,2,FALSE))=0,"",VLOOKUP(A14,'Species List'!$A:$G,2,FALSE))</f>
        <v>Canada thistle</v>
      </c>
      <c r="C14" s="44">
        <f>IF(LEN(VLOOKUP(A14,'Species List'!$A:$G,3,FALSE))=0,"",VLOOKUP(A14,'Species List'!$A:$G,3,FALSE))</f>
        <v>0</v>
      </c>
      <c r="D14" s="103">
        <f t="shared" si="0"/>
        <v>0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8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1"/>
        <v>15</v>
      </c>
      <c r="N14" s="102">
        <f t="shared" si="2"/>
        <v>0.10033444816053512</v>
      </c>
      <c r="O14" s="102">
        <f t="shared" si="3"/>
        <v>0</v>
      </c>
    </row>
    <row r="15" spans="1:15" x14ac:dyDescent="0.2">
      <c r="A15" s="108" t="s">
        <v>1974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2</v>
      </c>
      <c r="D15" s="103">
        <f t="shared" si="0"/>
        <v>2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8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2.0066889632107024E-2</v>
      </c>
      <c r="O15" s="102">
        <f t="shared" si="3"/>
        <v>4.0133779264214048E-2</v>
      </c>
    </row>
    <row r="16" spans="1:15" x14ac:dyDescent="0.2">
      <c r="A16" s="109" t="s">
        <v>3273</v>
      </c>
      <c r="B16" s="44" t="str">
        <f>IF(LEN(VLOOKUP(A16,'Species List'!$A:$G,2,FALSE))=0,"",VLOOKUP(A16,'Species List'!$A:$G,2,FALSE))</f>
        <v>arrow-leaved tearthumb</v>
      </c>
      <c r="C16" s="44">
        <f>IF(LEN(VLOOKUP(A16,'Species List'!$A:$G,3,FALSE))=0,"",VLOOKUP(A16,'Species List'!$A:$G,3,FALSE))</f>
        <v>4</v>
      </c>
      <c r="D16" s="103">
        <f t="shared" si="0"/>
        <v>4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OBL</v>
      </c>
      <c r="H16" s="44">
        <f>VLOOKUP(A16,'Species List'!$A:$G,7,FALSE)</f>
        <v>0</v>
      </c>
      <c r="J16" s="118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4">
        <f t="shared" si="1"/>
        <v>15</v>
      </c>
      <c r="N16" s="102">
        <f t="shared" si="2"/>
        <v>0.10033444816053512</v>
      </c>
      <c r="O16" s="102">
        <f t="shared" si="3"/>
        <v>0.40133779264214048</v>
      </c>
    </row>
    <row r="17" spans="1:15" x14ac:dyDescent="0.2">
      <c r="A17" s="108" t="s">
        <v>3263</v>
      </c>
      <c r="B17" s="44" t="str">
        <f>IF(LEN(VLOOKUP(A17,'Species List'!$A:$G,2,FALSE))=0,"",VLOOKUP(A17,'Species List'!$A:$G,2,FALSE))</f>
        <v>nodding smartweed</v>
      </c>
      <c r="C17" s="44">
        <f>IF(LEN(VLOOKUP(A17,'Species List'!$A:$G,3,FALSE))=0,"",VLOOKUP(A17,'Species List'!$A:$G,3,FALSE))</f>
        <v>2</v>
      </c>
      <c r="D17" s="103">
        <f t="shared" si="0"/>
        <v>2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FACW+</v>
      </c>
      <c r="H17" s="44">
        <f>VLOOKUP(A17,'Species List'!$A:$G,7,FALSE)</f>
        <v>0</v>
      </c>
      <c r="J17" s="118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2.0066889632107024E-2</v>
      </c>
      <c r="O17" s="102">
        <f t="shared" si="3"/>
        <v>4.0133779264214048E-2</v>
      </c>
    </row>
    <row r="18" spans="1:15" x14ac:dyDescent="0.2">
      <c r="A18" s="108" t="s">
        <v>2302</v>
      </c>
      <c r="B18" s="44" t="str">
        <f>IF(LEN(VLOOKUP(A18,'Species List'!$A:$G,2,FALSE))=0,"",VLOOKUP(A18,'Species List'!$A:$G,2,FALSE))</f>
        <v>Virginia stickseed</v>
      </c>
      <c r="C18" s="44">
        <f>IF(LEN(VLOOKUP(A18,'Species List'!$A:$G,3,FALSE))=0,"",VLOOKUP(A18,'Species List'!$A:$G,3,FALSE))</f>
        <v>1</v>
      </c>
      <c r="D18" s="103">
        <f t="shared" si="0"/>
        <v>1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FAC-</v>
      </c>
      <c r="H18" s="44">
        <f>VLOOKUP(A18,'Species List'!$A:$G,7,FALSE)</f>
        <v>0</v>
      </c>
      <c r="J18" s="118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2.0066889632107024E-2</v>
      </c>
      <c r="O18" s="102">
        <f t="shared" si="3"/>
        <v>2.0066889632107024E-2</v>
      </c>
    </row>
    <row r="19" spans="1:15" ht="13.2" x14ac:dyDescent="0.25">
      <c r="A19" s="36" t="s">
        <v>4096</v>
      </c>
      <c r="B19" s="44" t="str">
        <f>IF(LEN(VLOOKUP(A19,'Species List'!$A:$G,2,FALSE))=0,"",VLOOKUP(A19,'Species List'!$A:$G,2,FALSE))</f>
        <v>mad dog skullcap</v>
      </c>
      <c r="C19" s="44">
        <f>IF(LEN(VLOOKUP(A19,'Species List'!$A:$G,3,FALSE))=0,"",VLOOKUP(A19,'Species List'!$A:$G,3,FALSE))</f>
        <v>5</v>
      </c>
      <c r="D19" s="103">
        <f t="shared" si="0"/>
        <v>5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OBL</v>
      </c>
      <c r="H19" s="44">
        <f>VLOOKUP(A19,'Species List'!$A:$G,7,FALSE)</f>
        <v>0</v>
      </c>
      <c r="J19" s="118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2.0066889632107024E-2</v>
      </c>
      <c r="O19" s="102">
        <f t="shared" si="3"/>
        <v>0.10033444816053512</v>
      </c>
    </row>
    <row r="20" spans="1:15" x14ac:dyDescent="0.2">
      <c r="A20" s="108" t="s">
        <v>2813</v>
      </c>
      <c r="B20" s="44" t="str">
        <f>IF(LEN(VLOOKUP(A20,'Species List'!$A:$G,2,FALSE))=0,"",VLOOKUP(A20,'Species List'!$A:$G,2,FALSE))</f>
        <v>northern bugleweed</v>
      </c>
      <c r="C20" s="44">
        <f>IF(LEN(VLOOKUP(A20,'Species List'!$A:$G,3,FALSE))=0,"",VLOOKUP(A20,'Species List'!$A:$G,3,FALSE))</f>
        <v>5</v>
      </c>
      <c r="D20" s="103">
        <f t="shared" si="0"/>
        <v>5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OBL</v>
      </c>
      <c r="H20" s="44">
        <f>VLOOKUP(A20,'Species List'!$A:$G,7,FALSE)</f>
        <v>0</v>
      </c>
      <c r="J20" s="119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2.0066889632107024E-2</v>
      </c>
      <c r="O20" s="102">
        <f t="shared" si="3"/>
        <v>0.10033444816053512</v>
      </c>
    </row>
    <row r="21" spans="1:15" x14ac:dyDescent="0.2">
      <c r="A21" s="108" t="s">
        <v>2187</v>
      </c>
      <c r="B21" s="44" t="str">
        <f>IF(LEN(VLOOKUP(A21,'Species List'!$A:$G,2,FALSE))=0,"",VLOOKUP(A21,'Species List'!$A:$G,2,FALSE))</f>
        <v/>
      </c>
      <c r="C21" s="44">
        <f>IF(LEN(VLOOKUP(A21,'Species List'!$A:$G,3,FALSE))=0,"",VLOOKUP(A21,'Species List'!$A:$G,3,FALSE))</f>
        <v>4</v>
      </c>
      <c r="D21" s="103">
        <f t="shared" si="0"/>
        <v>4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FACU+</v>
      </c>
      <c r="H21" s="44">
        <f>VLOOKUP(A21,'Species List'!$A:$G,7,FALSE)</f>
        <v>0</v>
      </c>
      <c r="J21" s="118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2.0066889632107024E-2</v>
      </c>
      <c r="O21" s="102">
        <f t="shared" si="3"/>
        <v>8.0267558528428096E-2</v>
      </c>
    </row>
    <row r="22" spans="1:15" x14ac:dyDescent="0.2">
      <c r="A22" s="108" t="s">
        <v>234</v>
      </c>
      <c r="B22" s="44" t="str">
        <f>IF(LEN(VLOOKUP(A22,'Species List'!$A:$G,2,FALSE))=0,"",VLOOKUP(A22,'Species List'!$A:$G,2,FALSE))</f>
        <v>white snakeroot</v>
      </c>
      <c r="C22" s="44">
        <f>IF(LEN(VLOOKUP(A22,'Species List'!$A:$G,3,FALSE))=0,"",VLOOKUP(A22,'Species List'!$A:$G,3,FALSE))</f>
        <v>1</v>
      </c>
      <c r="D22" s="103">
        <f t="shared" si="0"/>
        <v>1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118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2.0066889632107024E-2</v>
      </c>
      <c r="O22" s="102">
        <f t="shared" si="3"/>
        <v>2.0066889632107024E-2</v>
      </c>
    </row>
    <row r="23" spans="1:15" x14ac:dyDescent="0.2">
      <c r="A23" s="108" t="s">
        <v>1271</v>
      </c>
      <c r="B23" s="44" t="str">
        <f>IF(LEN(VLOOKUP(A23,'Species List'!$A:$G,2,FALSE))=0,"",VLOOKUP(A23,'Species List'!$A:$G,2,FALSE))</f>
        <v/>
      </c>
      <c r="C23" s="44">
        <f>IF(LEN(VLOOKUP(A23,'Species List'!$A:$G,3,FALSE))=0,"",VLOOKUP(A23,'Species List'!$A:$G,3,FALSE))</f>
        <v>0</v>
      </c>
      <c r="D23" s="103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8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2.0066889632107024E-2</v>
      </c>
      <c r="O23" s="102">
        <f t="shared" si="3"/>
        <v>0</v>
      </c>
    </row>
    <row r="24" spans="1:15" x14ac:dyDescent="0.2">
      <c r="A24" s="110" t="s">
        <v>1981</v>
      </c>
      <c r="B24" s="44" t="str">
        <f>IF(LEN(VLOOKUP(A24,'Species List'!$A:$G,2,FALSE))=0,"",VLOOKUP(A24,'Species List'!$A:$G,2,FALSE))</f>
        <v>annual fleabane</v>
      </c>
      <c r="C24" s="44">
        <f>IF(LEN(VLOOKUP(A24,'Species List'!$A:$G,3,FALSE))=0,"",VLOOKUP(A24,'Species List'!$A:$G,3,FALSE))</f>
        <v>0</v>
      </c>
      <c r="D24" s="103">
        <f t="shared" si="0"/>
        <v>0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FAC-</v>
      </c>
      <c r="H24" s="44">
        <f>VLOOKUP(A24,'Species List'!$A:$G,7,FALSE)</f>
        <v>0</v>
      </c>
      <c r="J24" s="118">
        <v>1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2.0066889632107024E-2</v>
      </c>
      <c r="O24" s="102">
        <f t="shared" si="3"/>
        <v>0</v>
      </c>
    </row>
    <row r="25" spans="1:15" x14ac:dyDescent="0.2">
      <c r="A25" s="112" t="s">
        <v>2895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3</v>
      </c>
      <c r="D25" s="103">
        <f t="shared" si="0"/>
        <v>3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FACW</v>
      </c>
      <c r="H25" s="44">
        <f>VLOOKUP(A25,'Species List'!$A:$G,7,FALSE)</f>
        <v>0</v>
      </c>
      <c r="J25" s="120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2.0066889632107024E-2</v>
      </c>
      <c r="O25" s="102">
        <f t="shared" si="3"/>
        <v>6.0200668896321072E-2</v>
      </c>
    </row>
    <row r="26" spans="1:15" x14ac:dyDescent="0.2">
      <c r="A26" s="108" t="s">
        <v>243</v>
      </c>
      <c r="B26" s="44" t="str">
        <f>IF(LEN(VLOOKUP(A26,'Species List'!$A:$G,2,FALSE))=0,"",VLOOKUP(A26,'Species List'!$A:$G,2,FALSE))</f>
        <v>downy agrimony</v>
      </c>
      <c r="C26" s="44">
        <f>IF(LEN(VLOOKUP(A26,'Species List'!$A:$G,3,FALSE))=0,"",VLOOKUP(A26,'Species List'!$A:$G,3,FALSE))</f>
        <v>5</v>
      </c>
      <c r="D26" s="103">
        <f t="shared" si="0"/>
        <v>5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118" t="s">
        <v>5420</v>
      </c>
      <c r="K26" s="47" t="str">
        <f>VLOOKUP(J26,'Species List'!$H$1:$J$9,2,FALSE)</f>
        <v>&gt;0-1%</v>
      </c>
      <c r="L26" s="47">
        <f>VLOOKUP(K26,'Species List'!$I$1:$N$8,2,FALSE)</f>
        <v>0.5</v>
      </c>
      <c r="M26" s="104">
        <f t="shared" si="1"/>
        <v>0.5</v>
      </c>
      <c r="N26" s="102">
        <f t="shared" si="2"/>
        <v>3.3444816053511705E-3</v>
      </c>
      <c r="O26" s="102">
        <f t="shared" si="3"/>
        <v>1.6722408026755852E-2</v>
      </c>
    </row>
    <row r="27" spans="1:15" x14ac:dyDescent="0.2">
      <c r="A27" s="113" t="s">
        <v>1384</v>
      </c>
      <c r="B27" s="44" t="str">
        <f>IF(LEN(VLOOKUP(A27,'Species List'!$A:$G,2,FALSE))=0,"",VLOOKUP(A27,'Species List'!$A:$G,2,FALSE))</f>
        <v>bull thistle</v>
      </c>
      <c r="C27" s="44">
        <f>IF(LEN(VLOOKUP(A27,'Species List'!$A:$G,3,FALSE))=0,"",VLOOKUP(A27,'Species List'!$A:$G,3,FALSE))</f>
        <v>0</v>
      </c>
      <c r="D27" s="103">
        <f t="shared" si="0"/>
        <v>0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FACU-</v>
      </c>
      <c r="H27" s="44">
        <f>VLOOKUP(A27,'Species List'!$A:$G,7,FALSE)</f>
        <v>0</v>
      </c>
      <c r="J27" s="118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2.0066889632107024E-2</v>
      </c>
      <c r="O27" s="102">
        <f t="shared" si="3"/>
        <v>0</v>
      </c>
    </row>
    <row r="28" spans="1:15" x14ac:dyDescent="0.2">
      <c r="A28" s="108" t="s">
        <v>5447</v>
      </c>
      <c r="B28" s="44" t="e">
        <f>IF(LEN(VLOOKUP(A28,'Species List'!$A:$G,2,FALSE))=0,"",VLOOKUP(A28,'Species List'!$A:$G,2,FALSE))</f>
        <v>#N/A</v>
      </c>
      <c r="C28" s="44">
        <v>6</v>
      </c>
      <c r="D28" s="103">
        <f t="shared" si="0"/>
        <v>6</v>
      </c>
      <c r="E28" s="44" t="e">
        <f>IF(LEN(VLOOKUP(A28,'Species List'!$A:$G,4,FALSE))=0,"",VLOOKUP(A28,'Species List'!$A:$G,4,FALSE))</f>
        <v>#N/A</v>
      </c>
      <c r="F28" s="44" t="s">
        <v>147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118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2.0066889632107024E-2</v>
      </c>
      <c r="O28" s="102">
        <f t="shared" si="3"/>
        <v>0.12040133779264214</v>
      </c>
    </row>
    <row r="29" spans="1:15" x14ac:dyDescent="0.2">
      <c r="A29" s="108" t="s">
        <v>4657</v>
      </c>
      <c r="B29" s="44" t="str">
        <f>IF(LEN(VLOOKUP(A29,'Species List'!$A:$G,2,FALSE))=0,"",VLOOKUP(A29,'Species List'!$A:$G,2,FALSE))</f>
        <v>blue vervain</v>
      </c>
      <c r="C29" s="44">
        <f>IF(LEN(VLOOKUP(A29,'Species List'!$A:$G,3,FALSE))=0,"",VLOOKUP(A29,'Species List'!$A:$G,3,FALSE))</f>
        <v>6</v>
      </c>
      <c r="D29" s="103">
        <f t="shared" si="0"/>
        <v>6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FACW+</v>
      </c>
      <c r="H29" s="44">
        <f>VLOOKUP(A29,'Species List'!$A:$G,7,FALSE)</f>
        <v>0</v>
      </c>
      <c r="J29" s="118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2.0066889632107024E-2</v>
      </c>
      <c r="O29" s="102">
        <f t="shared" si="3"/>
        <v>0.12040133779264214</v>
      </c>
    </row>
    <row r="30" spans="1:15" x14ac:dyDescent="0.2">
      <c r="A30" s="108" t="s">
        <v>4204</v>
      </c>
      <c r="B30" s="44" t="str">
        <f>IF(LEN(VLOOKUP(A30,'Species List'!$A:$G,2,FALSE))=0,"",VLOOKUP(A30,'Species List'!$A:$G,2,FALSE))</f>
        <v>bittersweet nightshade</v>
      </c>
      <c r="C30" s="44">
        <f>IF(LEN(VLOOKUP(A30,'Species List'!$A:$G,3,FALSE))=0,"",VLOOKUP(A30,'Species List'!$A:$G,3,FALSE))</f>
        <v>0</v>
      </c>
      <c r="D30" s="103">
        <f t="shared" si="0"/>
        <v>0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Introduced</v>
      </c>
      <c r="G30" s="44" t="str">
        <f>IF(LEN(VLOOKUP(A30,'Species List'!$A:$G,6,FALSE))=0,"",VLOOKUP(A30,'Species List'!$A:$G,6,FALSE))</f>
        <v>[FAC]</v>
      </c>
      <c r="H30" s="44">
        <f>VLOOKUP(A30,'Species List'!$A:$G,7,FALSE)</f>
        <v>0</v>
      </c>
      <c r="J30" s="121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2.0066889632107024E-2</v>
      </c>
      <c r="O30" s="102">
        <f t="shared" si="3"/>
        <v>0</v>
      </c>
    </row>
    <row r="31" spans="1:15" x14ac:dyDescent="0.2">
      <c r="A31" s="108" t="s">
        <v>5315</v>
      </c>
      <c r="B31" s="44" t="str">
        <f>IF(LEN(VLOOKUP(A31,'Species List'!$A:$G,2,FALSE))=0,"",VLOOKUP(A31,'Species List'!$A:$G,2,FALSE))</f>
        <v/>
      </c>
      <c r="C31" s="44">
        <v>1</v>
      </c>
      <c r="D31" s="103">
        <f t="shared" si="0"/>
        <v>1</v>
      </c>
      <c r="E31" s="44" t="str">
        <f>IF(LEN(VLOOKUP(A31,'Species List'!$A:$G,4,FALSE))=0,"",VLOOKUP(A31,'Species List'!$A:$G,4,FALSE))</f>
        <v/>
      </c>
      <c r="F31" s="44" t="s">
        <v>147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121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2.0066889632107024E-2</v>
      </c>
      <c r="O31" s="102">
        <f t="shared" si="3"/>
        <v>2.0066889632107024E-2</v>
      </c>
    </row>
    <row r="32" spans="1:15" x14ac:dyDescent="0.2">
      <c r="A32" s="108" t="s">
        <v>4222</v>
      </c>
      <c r="B32" s="44" t="str">
        <f>IF(LEN(VLOOKUP(A32,'Species List'!$A:$G,2,FALSE))=0,"",VLOOKUP(A32,'Species List'!$A:$G,2,FALSE))</f>
        <v>giant goldenrod</v>
      </c>
      <c r="C32" s="44">
        <f>IF(LEN(VLOOKUP(A32,'Species List'!$A:$G,3,FALSE))=0,"",VLOOKUP(A32,'Species List'!$A:$G,3,FALSE))</f>
        <v>3</v>
      </c>
      <c r="D32" s="103">
        <f t="shared" si="0"/>
        <v>3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FACW</v>
      </c>
      <c r="H32" s="44">
        <f>VLOOKUP(A32,'Species List'!$A:$G,7,FALSE)</f>
        <v>0</v>
      </c>
      <c r="J32" s="121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2.0066889632107024E-2</v>
      </c>
      <c r="O32" s="102">
        <f t="shared" si="3"/>
        <v>6.0200668896321072E-2</v>
      </c>
    </row>
    <row r="33" spans="1:15" x14ac:dyDescent="0.2">
      <c r="A33" s="114" t="s">
        <v>186</v>
      </c>
      <c r="B33" s="44" t="str">
        <f>IF(LEN(VLOOKUP(A33,'Species List'!$A:$G,2,FALSE))=0,"",VLOOKUP(A33,'Species List'!$A:$G,2,FALSE))</f>
        <v>common yarrow</v>
      </c>
      <c r="C33" s="44">
        <f>IF(LEN(VLOOKUP(A33,'Species List'!$A:$G,3,FALSE))=0,"",VLOOKUP(A33,'Species List'!$A:$G,3,FALSE))</f>
        <v>1</v>
      </c>
      <c r="D33" s="103">
        <f t="shared" si="0"/>
        <v>1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FACU</v>
      </c>
      <c r="H33" s="44">
        <f>VLOOKUP(A33,'Species List'!$A:$G,7,FALSE)</f>
        <v>0</v>
      </c>
      <c r="J33" s="121" t="s">
        <v>5420</v>
      </c>
      <c r="K33" s="47" t="str">
        <f>VLOOKUP(J33,'Species List'!$H$1:$J$9,2,FALSE)</f>
        <v>&gt;0-1%</v>
      </c>
      <c r="L33" s="47">
        <f>VLOOKUP(K33,'Species List'!$I$1:$N$8,2,FALSE)</f>
        <v>0.5</v>
      </c>
      <c r="M33" s="104">
        <f t="shared" si="1"/>
        <v>0.5</v>
      </c>
      <c r="N33" s="102">
        <f t="shared" si="2"/>
        <v>3.3444816053511705E-3</v>
      </c>
      <c r="O33" s="102">
        <f t="shared" si="3"/>
        <v>3.3444816053511705E-3</v>
      </c>
    </row>
    <row r="34" spans="1:15" x14ac:dyDescent="0.2">
      <c r="A34" s="108" t="s">
        <v>3353</v>
      </c>
      <c r="B34" s="44" t="str">
        <f>IF(LEN(VLOOKUP(A34,'Species List'!$A:$G,2,FALSE))=0,"",VLOOKUP(A34,'Species List'!$A:$G,2,FALSE))</f>
        <v>dwarf clearweed</v>
      </c>
      <c r="C34" s="44">
        <f>IF(LEN(VLOOKUP(A34,'Species List'!$A:$G,3,FALSE))=0,"",VLOOKUP(A34,'Species List'!$A:$G,3,FALSE))</f>
        <v>3</v>
      </c>
      <c r="D34" s="103">
        <f t="shared" si="0"/>
        <v>3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[FACW]</v>
      </c>
      <c r="H34" s="44">
        <f>VLOOKUP(A34,'Species List'!$A:$G,7,FALSE)</f>
        <v>0</v>
      </c>
      <c r="J34" s="121">
        <v>1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2.0066889632107024E-2</v>
      </c>
      <c r="O34" s="102">
        <f t="shared" si="3"/>
        <v>6.0200668896321072E-2</v>
      </c>
    </row>
    <row r="35" spans="1:15" x14ac:dyDescent="0.2">
      <c r="A35" s="114" t="s">
        <v>5448</v>
      </c>
      <c r="B35" s="44" t="e">
        <f>IF(LEN(VLOOKUP(A35,'Species List'!$A:$G,2,FALSE))=0,"",VLOOKUP(A35,'Species List'!$A:$G,2,FALSE))</f>
        <v>#N/A</v>
      </c>
      <c r="C35" s="44">
        <v>1</v>
      </c>
      <c r="D35" s="103">
        <f t="shared" si="0"/>
        <v>1</v>
      </c>
      <c r="E35" s="44" t="e">
        <f>IF(LEN(VLOOKUP(A35,'Species List'!$A:$G,4,FALSE))=0,"",VLOOKUP(A35,'Species List'!$A:$G,4,FALSE))</f>
        <v>#N/A</v>
      </c>
      <c r="F35" s="44" t="s">
        <v>147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121">
        <v>2</v>
      </c>
      <c r="K35" s="47" t="str">
        <f>VLOOKUP(J35,'Species List'!$H$1:$J$9,2,FALSE)</f>
        <v>&gt;5-25%</v>
      </c>
      <c r="L35" s="47">
        <f>VLOOKUP(K35,'Species List'!$I$1:$N$8,2,FALSE)</f>
        <v>15</v>
      </c>
      <c r="M35" s="104">
        <f t="shared" si="1"/>
        <v>15</v>
      </c>
      <c r="N35" s="102">
        <f t="shared" si="2"/>
        <v>0.10033444816053512</v>
      </c>
      <c r="O35" s="102">
        <f t="shared" si="3"/>
        <v>0.10033444816053512</v>
      </c>
    </row>
    <row r="36" spans="1:15" x14ac:dyDescent="0.2">
      <c r="A36" s="108" t="s">
        <v>4510</v>
      </c>
      <c r="B36" s="44" t="str">
        <f>IF(LEN(VLOOKUP(A36,'Species List'!$A:$G,2,FALSE))=0,"",VLOOKUP(A36,'Species List'!$A:$G,2,FALSE))</f>
        <v>Japanese Hedge Parsley</v>
      </c>
      <c r="C36" s="44">
        <f>IF(LEN(VLOOKUP(A36,'Species List'!$A:$G,3,FALSE))=0,"",VLOOKUP(A36,'Species List'!$A:$G,3,FALSE))</f>
        <v>0</v>
      </c>
      <c r="D36" s="103">
        <f t="shared" si="0"/>
        <v>0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Introduced</v>
      </c>
      <c r="G36" s="44" t="str">
        <f>IF(LEN(VLOOKUP(A36,'Species List'!$A:$G,6,FALSE))=0,"",VLOOKUP(A36,'Species List'!$A:$G,6,FALSE))</f>
        <v/>
      </c>
      <c r="H36" s="44">
        <f>VLOOKUP(A36,'Species List'!$A:$G,7,FALSE)</f>
        <v>0</v>
      </c>
      <c r="J36" s="121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2.0066889632107024E-2</v>
      </c>
      <c r="O36" s="102">
        <f t="shared" si="3"/>
        <v>0</v>
      </c>
    </row>
    <row r="37" spans="1:15" x14ac:dyDescent="0.2">
      <c r="A37" s="114" t="s">
        <v>5444</v>
      </c>
      <c r="B37" s="44" t="e">
        <f>IF(LEN(VLOOKUP(A37,'Species List'!$A:$G,2,FALSE))=0,"",VLOOKUP(A37,'Species List'!$A:$G,2,FALSE))</f>
        <v>#N/A</v>
      </c>
      <c r="C37" s="44">
        <v>4</v>
      </c>
      <c r="D37" s="103">
        <f t="shared" si="0"/>
        <v>4</v>
      </c>
      <c r="E37" s="44" t="e">
        <f>IF(LEN(VLOOKUP(A37,'Species List'!$A:$G,4,FALSE))=0,"",VLOOKUP(A37,'Species List'!$A:$G,4,FALSE))</f>
        <v>#N/A</v>
      </c>
      <c r="F37" s="44" t="s">
        <v>147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121" t="s">
        <v>5418</v>
      </c>
      <c r="K37" s="47" t="str">
        <f>VLOOKUP(J37,'Species List'!$H$1:$J$9,2,FALSE)</f>
        <v>&gt;1-5%</v>
      </c>
      <c r="L37" s="47">
        <f>VLOOKUP(K37,'Species List'!$I$1:$N$8,2,FALSE)</f>
        <v>3</v>
      </c>
      <c r="M37" s="104">
        <f t="shared" si="1"/>
        <v>3</v>
      </c>
      <c r="N37" s="102">
        <f t="shared" si="2"/>
        <v>2.0066889632107024E-2</v>
      </c>
      <c r="O37" s="102">
        <f t="shared" si="3"/>
        <v>8.0267558528428096E-2</v>
      </c>
    </row>
    <row r="38" spans="1:15" x14ac:dyDescent="0.2">
      <c r="A38" s="115" t="s">
        <v>270</v>
      </c>
      <c r="B38" s="44" t="str">
        <f>IF(LEN(VLOOKUP(A38,'Species List'!$A:$G,2,FALSE))=0,"",VLOOKUP(A38,'Species List'!$A:$G,2,FALSE))</f>
        <v>garlic mustard</v>
      </c>
      <c r="C38" s="44">
        <f>IF(LEN(VLOOKUP(A38,'Species List'!$A:$G,3,FALSE))=0,"",VLOOKUP(A38,'Species List'!$A:$G,3,FALSE))</f>
        <v>0</v>
      </c>
      <c r="D38" s="103">
        <f t="shared" si="0"/>
        <v>0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Introduced</v>
      </c>
      <c r="G38" s="44" t="str">
        <f>IF(LEN(VLOOKUP(A38,'Species List'!$A:$G,6,FALSE))=0,"",VLOOKUP(A38,'Species List'!$A:$G,6,FALSE))</f>
        <v>FAC</v>
      </c>
      <c r="H38" s="44">
        <f>VLOOKUP(A38,'Species List'!$A:$G,7,FALSE)</f>
        <v>0</v>
      </c>
      <c r="J38" s="121" t="s">
        <v>5418</v>
      </c>
      <c r="K38" s="47" t="str">
        <f>VLOOKUP(J38,'Species List'!$H$1:$J$9,2,FALSE)</f>
        <v>&gt;1-5%</v>
      </c>
      <c r="L38" s="47">
        <f>VLOOKUP(K38,'Species List'!$I$1:$N$8,2,FALSE)</f>
        <v>3</v>
      </c>
      <c r="M38" s="104">
        <f t="shared" si="1"/>
        <v>3</v>
      </c>
      <c r="N38" s="102">
        <f t="shared" si="2"/>
        <v>2.0066889632107024E-2</v>
      </c>
      <c r="O38" s="102">
        <f t="shared" si="3"/>
        <v>0</v>
      </c>
    </row>
    <row r="39" spans="1:15" x14ac:dyDescent="0.2">
      <c r="A39" s="114" t="s">
        <v>1366</v>
      </c>
      <c r="B39" s="44" t="str">
        <f>IF(LEN(VLOOKUP(A39,'Species List'!$A:$G,2,FALSE))=0,"",VLOOKUP(A39,'Species List'!$A:$G,2,FALSE))</f>
        <v>common enchanter's nightshade</v>
      </c>
      <c r="C39" s="44">
        <f>IF(LEN(VLOOKUP(A39,'Species List'!$A:$G,3,FALSE))=0,"",VLOOKUP(A39,'Species List'!$A:$G,3,FALSE))</f>
        <v>2</v>
      </c>
      <c r="D39" s="103">
        <f t="shared" si="0"/>
        <v>2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[FACU]</v>
      </c>
      <c r="H39" s="44">
        <f>VLOOKUP(A39,'Species List'!$A:$G,7,FALSE)</f>
        <v>0</v>
      </c>
      <c r="J39" s="121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4">
        <f t="shared" si="1"/>
        <v>3</v>
      </c>
      <c r="N39" s="102">
        <f t="shared" si="2"/>
        <v>2.0066889632107024E-2</v>
      </c>
      <c r="O39" s="102">
        <f t="shared" si="3"/>
        <v>4.0133779264214048E-2</v>
      </c>
    </row>
    <row r="40" spans="1:15" x14ac:dyDescent="0.2">
      <c r="A40" s="114" t="s">
        <v>597</v>
      </c>
      <c r="B40" s="44" t="str">
        <f>IF(LEN(VLOOKUP(A40,'Species List'!$A:$G,2,FALSE))=0,"",VLOOKUP(A40,'Species List'!$A:$G,2,FALSE))</f>
        <v>lady fern</v>
      </c>
      <c r="C40" s="44">
        <f>IF(LEN(VLOOKUP(A40,'Species List'!$A:$G,3,FALSE))=0,"",VLOOKUP(A40,'Species List'!$A:$G,3,FALSE))</f>
        <v>5</v>
      </c>
      <c r="D40" s="103">
        <f t="shared" si="0"/>
        <v>5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Native</v>
      </c>
      <c r="G40" s="44" t="str">
        <f>IF(LEN(VLOOKUP(A40,'Species List'!$A:$G,6,FALSE))=0,"",VLOOKUP(A40,'Species List'!$A:$G,6,FALSE))</f>
        <v/>
      </c>
      <c r="H40" s="44">
        <f>VLOOKUP(A40,'Species List'!$A:$G,7,FALSE)</f>
        <v>0</v>
      </c>
      <c r="J40" s="121" t="s">
        <v>5418</v>
      </c>
      <c r="K40" s="47" t="str">
        <f>VLOOKUP(J40,'Species List'!$H$1:$J$9,2,FALSE)</f>
        <v>&gt;1-5%</v>
      </c>
      <c r="L40" s="47">
        <f>VLOOKUP(K40,'Species List'!$I$1:$N$8,2,FALSE)</f>
        <v>3</v>
      </c>
      <c r="M40" s="104">
        <f t="shared" si="1"/>
        <v>3</v>
      </c>
      <c r="N40" s="102">
        <f t="shared" si="2"/>
        <v>2.0066889632107024E-2</v>
      </c>
      <c r="O40" s="102">
        <f t="shared" si="3"/>
        <v>0.10033444816053512</v>
      </c>
    </row>
    <row r="41" spans="1:15" x14ac:dyDescent="0.2">
      <c r="A41" s="114" t="s">
        <v>2241</v>
      </c>
      <c r="B41" s="44" t="str">
        <f>IF(LEN(VLOOKUP(A41,'Species List'!$A:$G,2,FALSE))=0,"",VLOOKUP(A41,'Species List'!$A:$G,2,FALSE))</f>
        <v>white avens</v>
      </c>
      <c r="C41" s="44">
        <f>IF(LEN(VLOOKUP(A41,'Species List'!$A:$G,3,FALSE))=0,"",VLOOKUP(A41,'Species List'!$A:$G,3,FALSE))</f>
        <v>2</v>
      </c>
      <c r="D41" s="103">
        <f t="shared" si="0"/>
        <v>2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>FAC</v>
      </c>
      <c r="H41" s="44">
        <f>VLOOKUP(A41,'Species List'!$A:$G,7,FALSE)</f>
        <v>0</v>
      </c>
      <c r="J41" s="121" t="s">
        <v>5418</v>
      </c>
      <c r="K41" s="47" t="str">
        <f>VLOOKUP(J41,'Species List'!$H$1:$J$9,2,FALSE)</f>
        <v>&gt;1-5%</v>
      </c>
      <c r="L41" s="47">
        <f>VLOOKUP(K41,'Species List'!$I$1:$N$8,2,FALSE)</f>
        <v>3</v>
      </c>
      <c r="M41" s="104">
        <f t="shared" si="1"/>
        <v>3</v>
      </c>
      <c r="N41" s="102">
        <f t="shared" si="2"/>
        <v>2.0066889632107024E-2</v>
      </c>
      <c r="O41" s="102">
        <f t="shared" si="3"/>
        <v>4.0133779264214048E-2</v>
      </c>
    </row>
    <row r="42" spans="1:15" x14ac:dyDescent="0.2">
      <c r="A42" s="116" t="s">
        <v>1915</v>
      </c>
      <c r="B42" s="44" t="str">
        <f>IF(LEN(VLOOKUP(A42,'Species List'!$A:$G,2,FALSE))=0,"",VLOOKUP(A42,'Species List'!$A:$G,2,FALSE))</f>
        <v>purple-leaved willow herb</v>
      </c>
      <c r="C42" s="44">
        <f>IF(LEN(VLOOKUP(A42,'Species List'!$A:$G,3,FALSE))=0,"",VLOOKUP(A42,'Species List'!$A:$G,3,FALSE))</f>
        <v>3</v>
      </c>
      <c r="D42" s="103">
        <f t="shared" si="0"/>
        <v>3</v>
      </c>
      <c r="E42" s="44" t="str">
        <f>IF(LEN(VLOOKUP(A42,'Species List'!$A:$G,4,FALSE))=0,"",VLOOKUP(A42,'Species List'!$A:$G,4,FALSE))</f>
        <v>H</v>
      </c>
      <c r="F42" s="44" t="str">
        <f>IF(LEN(VLOOKUP(A42,'Species List'!$A:$G,5,FALSE))=0,"",VLOOKUP(A42,'Species List'!$A:$G,5,FALSE))</f>
        <v>Native</v>
      </c>
      <c r="G42" s="44" t="str">
        <f>IF(LEN(VLOOKUP(A42,'Species List'!$A:$G,6,FALSE))=0,"",VLOOKUP(A42,'Species List'!$A:$G,6,FALSE))</f>
        <v>OBL</v>
      </c>
      <c r="H42" s="44">
        <f>VLOOKUP(A42,'Species List'!$A:$G,7,FALSE)</f>
        <v>0</v>
      </c>
      <c r="J42" s="121" t="s">
        <v>5418</v>
      </c>
      <c r="K42" s="47" t="str">
        <f>VLOOKUP(J42,'Species List'!$H$1:$J$9,2,FALSE)</f>
        <v>&gt;1-5%</v>
      </c>
      <c r="L42" s="47">
        <f>VLOOKUP(K42,'Species List'!$I$1:$N$8,2,FALSE)</f>
        <v>3</v>
      </c>
      <c r="M42" s="104">
        <f t="shared" si="1"/>
        <v>3</v>
      </c>
      <c r="N42" s="102">
        <f t="shared" si="2"/>
        <v>2.0066889632107024E-2</v>
      </c>
      <c r="O42" s="102">
        <f t="shared" si="3"/>
        <v>6.0200668896321072E-2</v>
      </c>
    </row>
    <row r="43" spans="1:15" x14ac:dyDescent="0.2">
      <c r="A43" s="114" t="s">
        <v>4358</v>
      </c>
      <c r="B43" s="44" t="str">
        <f>IF(LEN(VLOOKUP(A43,'Species List'!$A:$G,2,FALSE))=0,"",VLOOKUP(A43,'Species List'!$A:$G,2,FALSE))</f>
        <v>long-leaved chickweed</v>
      </c>
      <c r="C43" s="44">
        <f>IF(LEN(VLOOKUP(A43,'Species List'!$A:$G,3,FALSE))=0,"",VLOOKUP(A43,'Species List'!$A:$G,3,FALSE))</f>
        <v>6</v>
      </c>
      <c r="D43" s="103">
        <f t="shared" si="0"/>
        <v>6</v>
      </c>
      <c r="E43" s="44" t="str">
        <f>IF(LEN(VLOOKUP(A43,'Species List'!$A:$G,4,FALSE))=0,"",VLOOKUP(A43,'Species List'!$A:$G,4,FALSE))</f>
        <v>H</v>
      </c>
      <c r="F43" s="44" t="str">
        <f>IF(LEN(VLOOKUP(A43,'Species List'!$A:$G,5,FALSE))=0,"",VLOOKUP(A43,'Species List'!$A:$G,5,FALSE))</f>
        <v>Native</v>
      </c>
      <c r="G43" s="44" t="str">
        <f>IF(LEN(VLOOKUP(A43,'Species List'!$A:$G,6,FALSE))=0,"",VLOOKUP(A43,'Species List'!$A:$G,6,FALSE))</f>
        <v>FACW+</v>
      </c>
      <c r="H43" s="44">
        <f>VLOOKUP(A43,'Species List'!$A:$G,7,FALSE)</f>
        <v>0</v>
      </c>
      <c r="J43" s="121" t="s">
        <v>5418</v>
      </c>
      <c r="K43" s="47" t="str">
        <f>VLOOKUP(J43,'Species List'!$H$1:$J$9,2,FALSE)</f>
        <v>&gt;1-5%</v>
      </c>
      <c r="L43" s="47">
        <f>VLOOKUP(K43,'Species List'!$I$1:$N$8,2,FALSE)</f>
        <v>3</v>
      </c>
      <c r="M43" s="104">
        <f t="shared" si="1"/>
        <v>3</v>
      </c>
      <c r="N43" s="102">
        <f t="shared" si="2"/>
        <v>2.0066889632107024E-2</v>
      </c>
      <c r="O43" s="102">
        <f t="shared" si="3"/>
        <v>0.12040133779264214</v>
      </c>
    </row>
    <row r="44" spans="1:15" x14ac:dyDescent="0.2">
      <c r="A44" s="114" t="s">
        <v>669</v>
      </c>
      <c r="B44" s="44" t="str">
        <f>IF(LEN(VLOOKUP(A44,'Species List'!$A:$G,2,FALSE))=0,"",VLOOKUP(A44,'Species List'!$A:$G,2,FALSE))</f>
        <v>nodding bur marigold</v>
      </c>
      <c r="C44" s="44">
        <f>IF(LEN(VLOOKUP(A44,'Species List'!$A:$G,3,FALSE))=0,"",VLOOKUP(A44,'Species List'!$A:$G,3,FALSE))</f>
        <v>3</v>
      </c>
      <c r="D44" s="103">
        <f t="shared" si="0"/>
        <v>3</v>
      </c>
      <c r="E44" s="44" t="str">
        <f>IF(LEN(VLOOKUP(A44,'Species List'!$A:$G,4,FALSE))=0,"",VLOOKUP(A44,'Species List'!$A:$G,4,FALSE))</f>
        <v>H</v>
      </c>
      <c r="F44" s="44" t="str">
        <f>IF(LEN(VLOOKUP(A44,'Species List'!$A:$G,5,FALSE))=0,"",VLOOKUP(A44,'Species List'!$A:$G,5,FALSE))</f>
        <v>Native</v>
      </c>
      <c r="G44" s="44" t="str">
        <f>IF(LEN(VLOOKUP(A44,'Species List'!$A:$G,6,FALSE))=0,"",VLOOKUP(A44,'Species List'!$A:$G,6,FALSE))</f>
        <v>OBL</v>
      </c>
      <c r="H44" s="44">
        <f>VLOOKUP(A44,'Species List'!$A:$G,7,FALSE)</f>
        <v>0</v>
      </c>
      <c r="J44" s="121" t="s">
        <v>5418</v>
      </c>
      <c r="K44" s="47" t="str">
        <f>VLOOKUP(J44,'Species List'!$H$1:$J$9,2,FALSE)</f>
        <v>&gt;1-5%</v>
      </c>
      <c r="L44" s="47">
        <f>VLOOKUP(K44,'Species List'!$I$1:$N$8,2,FALSE)</f>
        <v>3</v>
      </c>
      <c r="M44" s="104">
        <f t="shared" si="1"/>
        <v>3</v>
      </c>
      <c r="N44" s="102">
        <f t="shared" si="2"/>
        <v>2.0066889632107024E-2</v>
      </c>
      <c r="O44" s="102">
        <f t="shared" si="3"/>
        <v>6.0200668896321072E-2</v>
      </c>
    </row>
    <row r="45" spans="1:15" x14ac:dyDescent="0.2">
      <c r="A45" s="114" t="s">
        <v>2046</v>
      </c>
      <c r="B45" s="44" t="str">
        <f>IF(LEN(VLOOKUP(A45,'Species List'!$A:$G,2,FALSE))=0,"",VLOOKUP(A45,'Species List'!$A:$G,2,FALSE))</f>
        <v>common boneset</v>
      </c>
      <c r="C45" s="44">
        <f>IF(LEN(VLOOKUP(A45,'Species List'!$A:$G,3,FALSE))=0,"",VLOOKUP(A45,'Species List'!$A:$G,3,FALSE))</f>
        <v>4</v>
      </c>
      <c r="D45" s="103">
        <f t="shared" si="0"/>
        <v>4</v>
      </c>
      <c r="E45" s="44" t="str">
        <f>IF(LEN(VLOOKUP(A45,'Species List'!$A:$G,4,FALSE))=0,"",VLOOKUP(A45,'Species List'!$A:$G,4,FALSE))</f>
        <v>H</v>
      </c>
      <c r="F45" s="44" t="str">
        <f>IF(LEN(VLOOKUP(A45,'Species List'!$A:$G,5,FALSE))=0,"",VLOOKUP(A45,'Species List'!$A:$G,5,FALSE))</f>
        <v>Native</v>
      </c>
      <c r="G45" s="44" t="str">
        <f>IF(LEN(VLOOKUP(A45,'Species List'!$A:$G,6,FALSE))=0,"",VLOOKUP(A45,'Species List'!$A:$G,6,FALSE))</f>
        <v>[FACW+]</v>
      </c>
      <c r="H45" s="44">
        <f>VLOOKUP(A45,'Species List'!$A:$G,7,FALSE)</f>
        <v>0</v>
      </c>
      <c r="J45" s="121" t="s">
        <v>5420</v>
      </c>
      <c r="K45" s="47" t="str">
        <f>VLOOKUP(J45,'Species List'!$H$1:$J$9,2,FALSE)</f>
        <v>&gt;0-1%</v>
      </c>
      <c r="L45" s="47">
        <f>VLOOKUP(K45,'Species List'!$I$1:$N$8,2,FALSE)</f>
        <v>0.5</v>
      </c>
      <c r="M45" s="104">
        <f t="shared" si="1"/>
        <v>0.5</v>
      </c>
      <c r="N45" s="102">
        <f t="shared" si="2"/>
        <v>3.3444816053511705E-3</v>
      </c>
      <c r="O45" s="102">
        <f t="shared" si="3"/>
        <v>1.3377926421404682E-2</v>
      </c>
    </row>
    <row r="46" spans="1:15" x14ac:dyDescent="0.2">
      <c r="A46" s="114" t="s">
        <v>5445</v>
      </c>
      <c r="B46" s="44" t="e">
        <f>IF(LEN(VLOOKUP(A46,'Species List'!$A:$G,2,FALSE))=0,"",VLOOKUP(A46,'Species List'!$A:$G,2,FALSE))</f>
        <v>#N/A</v>
      </c>
      <c r="C46" s="44">
        <v>6</v>
      </c>
      <c r="D46" s="103">
        <f t="shared" si="0"/>
        <v>6</v>
      </c>
      <c r="E46" s="44" t="e">
        <f>IF(LEN(VLOOKUP(A46,'Species List'!$A:$G,4,FALSE))=0,"",VLOOKUP(A46,'Species List'!$A:$G,4,FALSE))</f>
        <v>#N/A</v>
      </c>
      <c r="F46" s="44" t="s">
        <v>147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121" t="s">
        <v>5418</v>
      </c>
      <c r="K46" s="47" t="str">
        <f>VLOOKUP(J46,'Species List'!$H$1:$J$9,2,FALSE)</f>
        <v>&gt;1-5%</v>
      </c>
      <c r="L46" s="47">
        <f>VLOOKUP(K46,'Species List'!$I$1:$N$8,2,FALSE)</f>
        <v>3</v>
      </c>
      <c r="M46" s="104">
        <f t="shared" si="1"/>
        <v>3</v>
      </c>
      <c r="N46" s="102">
        <f t="shared" si="2"/>
        <v>2.0066889632107024E-2</v>
      </c>
      <c r="O46" s="102">
        <f t="shared" si="3"/>
        <v>0.12040133779264214</v>
      </c>
    </row>
    <row r="47" spans="1:15" x14ac:dyDescent="0.2">
      <c r="A47" s="114" t="s">
        <v>3728</v>
      </c>
      <c r="B47" s="44" t="str">
        <f>IF(LEN(VLOOKUP(A47,'Species List'!$A:$G,2,FALSE))=0,"",VLOOKUP(A47,'Species List'!$A:$G,2,FALSE))</f>
        <v>hispid buttercup</v>
      </c>
      <c r="C47" s="44">
        <f>IF(LEN(VLOOKUP(A47,'Species List'!$A:$G,3,FALSE))=0,"",VLOOKUP(A47,'Species List'!$A:$G,3,FALSE))</f>
        <v>6</v>
      </c>
      <c r="D47" s="103">
        <f t="shared" si="0"/>
        <v>6</v>
      </c>
      <c r="E47" s="44" t="str">
        <f>IF(LEN(VLOOKUP(A47,'Species List'!$A:$G,4,FALSE))=0,"",VLOOKUP(A47,'Species List'!$A:$G,4,FALSE))</f>
        <v>H</v>
      </c>
      <c r="F47" s="44" t="str">
        <f>IF(LEN(VLOOKUP(A47,'Species List'!$A:$G,5,FALSE))=0,"",VLOOKUP(A47,'Species List'!$A:$G,5,FALSE))</f>
        <v>Native</v>
      </c>
      <c r="G47" s="44" t="str">
        <f>IF(LEN(VLOOKUP(A47,'Species List'!$A:$G,6,FALSE))=0,"",VLOOKUP(A47,'Species List'!$A:$G,6,FALSE))</f>
        <v>FAC</v>
      </c>
      <c r="H47" s="44">
        <f>VLOOKUP(A47,'Species List'!$A:$G,7,FALSE)</f>
        <v>0</v>
      </c>
      <c r="J47" s="121" t="s">
        <v>5420</v>
      </c>
      <c r="K47" s="47" t="str">
        <f>VLOOKUP(J47,'Species List'!$H$1:$J$9,2,FALSE)</f>
        <v>&gt;0-1%</v>
      </c>
      <c r="L47" s="47">
        <f>VLOOKUP(K47,'Species List'!$I$1:$N$8,2,FALSE)</f>
        <v>0.5</v>
      </c>
      <c r="M47" s="104">
        <f t="shared" si="1"/>
        <v>0.5</v>
      </c>
      <c r="N47" s="102">
        <f t="shared" si="2"/>
        <v>3.3444816053511705E-3</v>
      </c>
      <c r="O47" s="102">
        <f t="shared" si="3"/>
        <v>2.0066889632107024E-2</v>
      </c>
    </row>
    <row r="48" spans="1:15" x14ac:dyDescent="0.2">
      <c r="A48" s="114" t="s">
        <v>462</v>
      </c>
      <c r="B48" s="44" t="str">
        <f>IF(LEN(VLOOKUP(A48,'Species List'!$A:$G,2,FALSE))=0,"",VLOOKUP(A48,'Species List'!$A:$G,2,FALSE))</f>
        <v>common burdock</v>
      </c>
      <c r="C48" s="44">
        <f>IF(LEN(VLOOKUP(A48,'Species List'!$A:$G,3,FALSE))=0,"",VLOOKUP(A48,'Species List'!$A:$G,3,FALSE))</f>
        <v>0</v>
      </c>
      <c r="D48" s="103">
        <f t="shared" si="0"/>
        <v>0</v>
      </c>
      <c r="E48" s="44" t="str">
        <f>IF(LEN(VLOOKUP(A48,'Species List'!$A:$G,4,FALSE))=0,"",VLOOKUP(A48,'Species List'!$A:$G,4,FALSE))</f>
        <v>H</v>
      </c>
      <c r="F48" s="44" t="str">
        <f>IF(LEN(VLOOKUP(A48,'Species List'!$A:$G,5,FALSE))=0,"",VLOOKUP(A48,'Species List'!$A:$G,5,FALSE))</f>
        <v>Introduced</v>
      </c>
      <c r="G48" s="44" t="str">
        <f>IF(LEN(VLOOKUP(A48,'Species List'!$A:$G,6,FALSE))=0,"",VLOOKUP(A48,'Species List'!$A:$G,6,FALSE))</f>
        <v>FACU</v>
      </c>
      <c r="H48" s="44">
        <f>VLOOKUP(A48,'Species List'!$A:$G,7,FALSE)</f>
        <v>0</v>
      </c>
      <c r="J48" s="121" t="s">
        <v>5420</v>
      </c>
      <c r="K48" s="47" t="str">
        <f>VLOOKUP(J48,'Species List'!$H$1:$J$9,2,FALSE)</f>
        <v>&gt;0-1%</v>
      </c>
      <c r="L48" s="47">
        <f>VLOOKUP(K48,'Species List'!$I$1:$N$8,2,FALSE)</f>
        <v>0.5</v>
      </c>
      <c r="M48" s="104">
        <f t="shared" si="1"/>
        <v>0.5</v>
      </c>
      <c r="N48" s="102">
        <f t="shared" si="2"/>
        <v>3.3444816053511705E-3</v>
      </c>
      <c r="O48" s="102">
        <f t="shared" si="3"/>
        <v>0</v>
      </c>
    </row>
    <row r="49" spans="1:15" x14ac:dyDescent="0.2">
      <c r="A49" s="117" t="s">
        <v>5446</v>
      </c>
      <c r="B49" s="44" t="e">
        <f>IF(LEN(VLOOKUP(A49,'Species List'!$A:$G,2,FALSE))=0,"",VLOOKUP(A49,'Species List'!$A:$G,2,FALSE))</f>
        <v>#N/A</v>
      </c>
      <c r="C49" s="44">
        <v>2</v>
      </c>
      <c r="D49" s="103">
        <f t="shared" si="0"/>
        <v>2</v>
      </c>
      <c r="E49" s="44" t="e">
        <f>IF(LEN(VLOOKUP(A49,'Species List'!$A:$G,4,FALSE))=0,"",VLOOKUP(A49,'Species List'!$A:$G,4,FALSE))</f>
        <v>#N/A</v>
      </c>
      <c r="F49" s="44" t="s">
        <v>147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122" t="s">
        <v>5418</v>
      </c>
      <c r="K49" s="47" t="str">
        <f>VLOOKUP(J49,'Species List'!$H$1:$J$9,2,FALSE)</f>
        <v>&gt;1-5%</v>
      </c>
      <c r="L49" s="47">
        <f>VLOOKUP(K49,'Species List'!$I$1:$N$8,2,FALSE)</f>
        <v>3</v>
      </c>
      <c r="M49" s="104">
        <f t="shared" si="1"/>
        <v>3</v>
      </c>
      <c r="N49" s="102">
        <f t="shared" si="2"/>
        <v>2.0066889632107024E-2</v>
      </c>
      <c r="O49" s="102">
        <f t="shared" si="3"/>
        <v>4.0133779264214048E-2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6" t="s">
        <v>5387</v>
      </c>
      <c r="J151" s="147"/>
      <c r="K151" s="148"/>
      <c r="L151" s="63">
        <f>SUMIF(L10:L150,"&gt;=0")</f>
        <v>149.5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G21" sqref="G21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4" t="s">
        <v>127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5"/>
      <c r="C7" s="145"/>
      <c r="D7" s="145"/>
      <c r="E7" s="145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5449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4" t="s">
        <v>3290</v>
      </c>
      <c r="B12" s="44" t="str">
        <f>IF(LEN(VLOOKUP(A12,'Species List'!$A:$G,2,FALSE))=0,"",VLOOKUP(A12,'Species List'!$A:$G,2,FALSE))</f>
        <v>reed canary grass</v>
      </c>
      <c r="C12" s="44">
        <f>IF(LEN(VLOOKUP(A12,'Species List'!$A:$G,3,FALSE))=0,"",VLOOKUP(A12,'Species List'!$A:$G,3,FALSE))</f>
        <v>0</v>
      </c>
      <c r="D12" s="103">
        <f>VALUE(C12)</f>
        <v>0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FACW+</v>
      </c>
      <c r="H12" s="44">
        <f>VLOOKUP(A12,'Species List'!$A:$G,7,FALSE)</f>
        <v>0</v>
      </c>
      <c r="J12" s="121">
        <v>4</v>
      </c>
      <c r="K12" s="47" t="str">
        <f>VLOOKUP(J12,'Species List'!$H$1:$J$9,2,FALSE)</f>
        <v>&gt;50-75%</v>
      </c>
      <c r="L12" s="47">
        <f>VLOOKUP(K12,'Species List'!$I$1:$N$8,2,FALSE)</f>
        <v>62.5</v>
      </c>
      <c r="M12" s="104">
        <f>VALUE(L12)</f>
        <v>62.5</v>
      </c>
      <c r="N12" s="102">
        <f t="shared" ref="N12:N75" si="0">L12/$L$151</f>
        <v>0.61576354679802958</v>
      </c>
      <c r="O12" s="31">
        <f>D12*N12</f>
        <v>0</v>
      </c>
    </row>
    <row r="13" spans="1:15" x14ac:dyDescent="0.2">
      <c r="A13" s="115" t="s">
        <v>2620</v>
      </c>
      <c r="B13" s="44" t="str">
        <f>IF(LEN(VLOOKUP(A13,'Species List'!$A:$G,2,FALSE))=0,"",VLOOKUP(A13,'Species List'!$A:$G,2,FALSE))</f>
        <v>rice cut grass</v>
      </c>
      <c r="C13" s="44">
        <f>IF(LEN(VLOOKUP(A13,'Species List'!$A:$G,3,FALSE))=0,"",VLOOKUP(A13,'Species List'!$A:$G,3,FALSE))</f>
        <v>3</v>
      </c>
      <c r="D13" s="103">
        <f t="shared" ref="D13:D18" si="1">VALUE(C13)</f>
        <v>3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OBL</v>
      </c>
      <c r="H13" s="44">
        <f>VLOOKUP(A13,'Species List'!$A:$G,7,FALSE)</f>
        <v>0</v>
      </c>
      <c r="J13" s="121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102">
        <f t="shared" si="0"/>
        <v>0.14778325123152711</v>
      </c>
      <c r="O13" s="102">
        <f t="shared" ref="O13:O76" si="3">D13*N13</f>
        <v>0.44334975369458129</v>
      </c>
    </row>
    <row r="14" spans="1:15" ht="13.2" x14ac:dyDescent="0.25">
      <c r="A14" s="36" t="s">
        <v>4067</v>
      </c>
      <c r="B14" s="44" t="str">
        <f>IF(LEN(VLOOKUP(A14,'Species List'!$A:$G,2,FALSE))=0,"",VLOOKUP(A14,'Species List'!$A:$G,2,FALSE))</f>
        <v>woolgrass</v>
      </c>
      <c r="C14" s="44">
        <f>IF(LEN(VLOOKUP(A14,'Species List'!$A:$G,3,FALSE))=0,"",VLOOKUP(A14,'Species List'!$A:$G,3,FALSE))</f>
        <v>3</v>
      </c>
      <c r="D14" s="103">
        <f t="shared" si="1"/>
        <v>3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OBL</v>
      </c>
      <c r="H14" s="44">
        <f>VLOOKUP(A14,'Species List'!$A:$G,7,FALSE)</f>
        <v>0</v>
      </c>
      <c r="J14" s="121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2.9556650246305417E-2</v>
      </c>
      <c r="O14" s="102">
        <f t="shared" si="3"/>
        <v>8.8669950738916259E-2</v>
      </c>
    </row>
    <row r="15" spans="1:15" x14ac:dyDescent="0.2">
      <c r="A15" s="114" t="s">
        <v>4907</v>
      </c>
      <c r="B15" s="44" t="str">
        <f>IF(LEN(VLOOKUP(A15,'Species List'!$A:$G,2,FALSE))=0,"",VLOOKUP(A15,'Species List'!$A:$G,2,FALSE))</f>
        <v/>
      </c>
      <c r="C15" s="44">
        <v>3</v>
      </c>
      <c r="D15" s="103">
        <f t="shared" si="1"/>
        <v>3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21">
        <v>1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2.9556650246305417E-2</v>
      </c>
      <c r="O15" s="102">
        <f t="shared" si="3"/>
        <v>8.8669950738916259E-2</v>
      </c>
    </row>
    <row r="16" spans="1:15" x14ac:dyDescent="0.2">
      <c r="A16" s="114" t="s">
        <v>1154</v>
      </c>
      <c r="B16" s="44" t="str">
        <f>IF(LEN(VLOOKUP(A16,'Species List'!$A:$G,2,FALSE))=0,"",VLOOKUP(A16,'Species List'!$A:$G,2,FALSE))</f>
        <v/>
      </c>
      <c r="C16" s="44">
        <f>IF(LEN(VLOOKUP(A16,'Species List'!$A:$G,3,FALSE))=0,"",VLOOKUP(A16,'Species List'!$A:$G,3,FALSE))</f>
        <v>4</v>
      </c>
      <c r="D16" s="103">
        <f t="shared" si="1"/>
        <v>4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</v>
      </c>
      <c r="H16" s="44">
        <f>VLOOKUP(A16,'Species List'!$A:$G,7,FALSE)</f>
        <v>0</v>
      </c>
      <c r="J16" s="12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2.9556650246305417E-2</v>
      </c>
      <c r="O16" s="102">
        <f t="shared" si="3"/>
        <v>0.11822660098522167</v>
      </c>
    </row>
    <row r="17" spans="1:15" x14ac:dyDescent="0.2">
      <c r="A17" s="114" t="s">
        <v>1040</v>
      </c>
      <c r="B17" s="44" t="str">
        <f>IF(LEN(VLOOKUP(A17,'Species List'!$A:$G,2,FALSE))=0,"",VLOOKUP(A17,'Species List'!$A:$G,2,FALSE))</f>
        <v>porcupine sedge</v>
      </c>
      <c r="C17" s="44">
        <f>IF(LEN(VLOOKUP(A17,'Species List'!$A:$G,3,FALSE))=0,"",VLOOKUP(A17,'Species List'!$A:$G,3,FALSE))</f>
        <v>4</v>
      </c>
      <c r="D17" s="103">
        <f t="shared" si="1"/>
        <v>4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OBL</v>
      </c>
      <c r="H17" s="44">
        <f>VLOOKUP(A17,'Species List'!$A:$G,7,FALSE)</f>
        <v>0</v>
      </c>
      <c r="J17" s="121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2.9556650246305417E-2</v>
      </c>
      <c r="O17" s="102">
        <f t="shared" si="3"/>
        <v>0.11822660098522167</v>
      </c>
    </row>
    <row r="18" spans="1:15" x14ac:dyDescent="0.2">
      <c r="A18" s="114" t="s">
        <v>2264</v>
      </c>
      <c r="B18" s="44" t="str">
        <f>IF(LEN(VLOOKUP(A18,'Species List'!$A:$G,2,FALSE))=0,"",VLOOKUP(A18,'Species List'!$A:$G,2,FALSE))</f>
        <v>fowl manna grass</v>
      </c>
      <c r="C18" s="44">
        <f>IF(LEN(VLOOKUP(A18,'Species List'!$A:$G,3,FALSE))=0,"",VLOOKUP(A18,'Species List'!$A:$G,3,FALSE))</f>
        <v>4</v>
      </c>
      <c r="D18" s="103">
        <f t="shared" si="1"/>
        <v>4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OBL</v>
      </c>
      <c r="H18" s="44">
        <f>VLOOKUP(A18,'Species List'!$A:$G,7,FALSE)</f>
        <v>0</v>
      </c>
      <c r="J18" s="121">
        <v>1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102">
        <f t="shared" si="0"/>
        <v>2.9556650246305417E-2</v>
      </c>
      <c r="O18" s="102">
        <f t="shared" si="3"/>
        <v>0.11822660098522167</v>
      </c>
    </row>
    <row r="19" spans="1:15" x14ac:dyDescent="0.2">
      <c r="A19" s="114" t="s">
        <v>3443</v>
      </c>
      <c r="B19" s="44" t="str">
        <f>IF(LEN(VLOOKUP(A19,'Species List'!$A:$G,2,FALSE))=0,"",VLOOKUP(A19,'Species List'!$A:$G,2,FALSE))</f>
        <v>fowl bluegrass</v>
      </c>
      <c r="C19" s="44">
        <f>IF(LEN(VLOOKUP(A19,'Species List'!$A:$G,3,FALSE))=0,"",VLOOKUP(A19,'Species List'!$A:$G,3,FALSE))</f>
        <v>5</v>
      </c>
      <c r="D19" s="103">
        <f t="shared" ref="D19:D76" si="4">VALUE(C19)</f>
        <v>5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FACW+</v>
      </c>
      <c r="H19" s="44">
        <f>VLOOKUP(A19,'Species List'!$A:$G,7,FALSE)</f>
        <v>0</v>
      </c>
      <c r="J19" s="121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102">
        <f t="shared" si="0"/>
        <v>2.9556650246305417E-2</v>
      </c>
      <c r="O19" s="102">
        <f t="shared" si="3"/>
        <v>0.14778325123152708</v>
      </c>
    </row>
    <row r="20" spans="1:15" x14ac:dyDescent="0.2">
      <c r="A20" s="114" t="s">
        <v>5450</v>
      </c>
      <c r="B20" s="44" t="e">
        <f>IF(LEN(VLOOKUP(A20,'Species List'!$A:$G,2,FALSE))=0,"",VLOOKUP(A20,'Species List'!$A:$G,2,FALSE))</f>
        <v>#N/A</v>
      </c>
      <c r="C20" s="44">
        <v>3</v>
      </c>
      <c r="D20" s="103">
        <f t="shared" si="4"/>
        <v>3</v>
      </c>
      <c r="E20" s="44" t="e">
        <f>IF(LEN(VLOOKUP(A20,'Species List'!$A:$G,4,FALSE))=0,"",VLOOKUP(A20,'Species List'!$A:$G,4,FALSE))</f>
        <v>#N/A</v>
      </c>
      <c r="F20" s="44" t="s">
        <v>147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121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102">
        <f t="shared" si="0"/>
        <v>2.9556650246305417E-2</v>
      </c>
      <c r="O20" s="102">
        <f t="shared" si="3"/>
        <v>8.8669950738916259E-2</v>
      </c>
    </row>
    <row r="21" spans="1:15" x14ac:dyDescent="0.2">
      <c r="A21" s="123" t="s">
        <v>5451</v>
      </c>
      <c r="B21" s="44" t="e">
        <f>IF(LEN(VLOOKUP(A21,'Species List'!$A:$G,2,FALSE))=0,"",VLOOKUP(A21,'Species List'!$A:$G,2,FALSE))</f>
        <v>#N/A</v>
      </c>
      <c r="C21" s="44">
        <v>3</v>
      </c>
      <c r="D21" s="103">
        <f t="shared" si="4"/>
        <v>3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121">
        <v>1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102">
        <f t="shared" si="0"/>
        <v>2.9556650246305417E-2</v>
      </c>
      <c r="O21" s="102">
        <f t="shared" si="3"/>
        <v>8.8669950738916259E-2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6" t="s">
        <v>5387</v>
      </c>
      <c r="J151" s="147"/>
      <c r="K151" s="148"/>
      <c r="L151" s="63">
        <f>SUMIF(L10:L150,"&gt;=0")</f>
        <v>101.5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9" t="s">
        <v>4840</v>
      </c>
      <c r="B1" s="149"/>
      <c r="C1" s="149"/>
      <c r="D1" s="149"/>
      <c r="E1" s="149"/>
      <c r="F1" s="149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18</v>
      </c>
      <c r="C4" s="106">
        <f>COUNTIF(Forbs!$F$10:$F$148,"Native")</f>
        <v>31</v>
      </c>
      <c r="D4" s="106">
        <f>COUNTIF(Grasses!$F$10:$F$149,"Native")</f>
        <v>8</v>
      </c>
      <c r="E4" s="106">
        <f>AVERAGE(B4:D4)</f>
        <v>19</v>
      </c>
      <c r="F4" s="106">
        <f>SUM(B4:D4)</f>
        <v>57</v>
      </c>
    </row>
    <row r="5" spans="1:6" ht="17.399999999999999" x14ac:dyDescent="0.3">
      <c r="A5" s="53" t="s">
        <v>4845</v>
      </c>
      <c r="B5" s="106">
        <f>COUNTIF(Woody!$F10:$F199,"Introduced")</f>
        <v>4</v>
      </c>
      <c r="C5" s="106">
        <f>COUNTIF(Forbs!$F10:$F199,"Introduced")</f>
        <v>7</v>
      </c>
      <c r="D5" s="106">
        <f>COUNTIF(Grasses!$F10:$F199,"Introduced")</f>
        <v>1</v>
      </c>
      <c r="E5" s="106">
        <f t="shared" ref="E5:E6" si="0">AVERAGE(B5:D5)</f>
        <v>4</v>
      </c>
      <c r="F5" s="106">
        <f>SUM(B5:D5)</f>
        <v>12</v>
      </c>
    </row>
    <row r="6" spans="1:6" s="83" customFormat="1" ht="19.8" x14ac:dyDescent="0.4">
      <c r="A6" s="53" t="s">
        <v>5422</v>
      </c>
      <c r="B6" s="106">
        <f>SUM(B4:B5)</f>
        <v>22</v>
      </c>
      <c r="C6" s="106">
        <f>SUM(C4:C5)</f>
        <v>38</v>
      </c>
      <c r="D6" s="106">
        <f>SUM(D4:D5)</f>
        <v>9</v>
      </c>
      <c r="E6" s="106">
        <f t="shared" si="0"/>
        <v>23</v>
      </c>
      <c r="F6" s="106">
        <f>SUM(B6:D6)</f>
        <v>69</v>
      </c>
    </row>
    <row r="7" spans="1:6" ht="17.399999999999999" x14ac:dyDescent="0.3">
      <c r="A7" s="53" t="s">
        <v>4846</v>
      </c>
      <c r="B7" s="106">
        <f>AVERAGEIF(Woody!D12:D150,"&gt;0")</f>
        <v>2.8888888888888888</v>
      </c>
      <c r="C7" s="106">
        <f>AVERAGEIF(Forbs!D12:D150,"&gt;0")</f>
        <v>3.4</v>
      </c>
      <c r="D7" s="106">
        <f>AVERAGEIF(Grasses!D12:D150,"&gt;0")</f>
        <v>3.5555555555555554</v>
      </c>
      <c r="E7" s="106">
        <f>AVERAGE(B7:D7)</f>
        <v>3.2814814814814817</v>
      </c>
      <c r="F7" s="106">
        <f>(SUMIF(Woody!D12:D150,"&gt;0")+SUMIF(Forbs!D12:D150,"&gt;0")+SUMIF(Grasses!D12:D150,"&gt;0"))/(COUNTIF(Woody!D12:D150,"&gt;0")+COUNTIF(Forbs!D12:D150,"&gt;0")+COUNTIF(Grasses!D12:D150,"&gt;0"))</f>
        <v>3.263157894736842</v>
      </c>
    </row>
    <row r="8" spans="1:6" s="31" customFormat="1" ht="19.8" x14ac:dyDescent="0.4">
      <c r="A8" s="53" t="s">
        <v>5423</v>
      </c>
      <c r="B8" s="106">
        <f>AVERAGEIF(Woody!D12:D150,"&gt;=0")</f>
        <v>2.3636363636363638</v>
      </c>
      <c r="C8" s="106">
        <f>AVERAGEIF(Forbs!D12:D150,"&gt;=0")</f>
        <v>2.6842105263157894</v>
      </c>
      <c r="D8" s="106">
        <f>AVERAGEIF(Grasses!D12:D150,"&gt;=0")</f>
        <v>3.2</v>
      </c>
      <c r="E8" s="106">
        <f>AVERAGE(B8:D8)</f>
        <v>2.7492822966507178</v>
      </c>
      <c r="F8" s="106">
        <f>(SUMIF(Woody!D12:D150,"&gt;=0")+SUMIF(Forbs!D12:D150,"&gt;=0")+SUMIF(Grasses!D12:D150,"&gt;=0"))/(COUNTIF(Woody!D12:D150,"&gt;=0")+COUNTIF(Forbs!D12:D150,"&gt;=0")+COUNTIF(Grasses!D12:D150,"&gt;=0"))</f>
        <v>2.657142857142857</v>
      </c>
    </row>
    <row r="9" spans="1:6" ht="17.399999999999999" x14ac:dyDescent="0.3">
      <c r="A9" s="53" t="s">
        <v>4839</v>
      </c>
      <c r="B9" s="106">
        <f>SQRT(B4)*B7</f>
        <v>12.256517540566822</v>
      </c>
      <c r="C9" s="106">
        <f>SQRT(C4)*C7</f>
        <v>18.930398833622071</v>
      </c>
      <c r="D9" s="106">
        <f>SQRT(D4)*D7</f>
        <v>10.056629776875342</v>
      </c>
      <c r="E9" s="106">
        <f>SQRT(E4)*E7</f>
        <v>14.303646162877916</v>
      </c>
      <c r="F9" s="106">
        <f>SQRT(F4)*F7</f>
        <v>24.636301841409814</v>
      </c>
    </row>
    <row r="10" spans="1:6" s="84" customFormat="1" ht="19.8" x14ac:dyDescent="0.4">
      <c r="A10" s="53" t="s">
        <v>5424</v>
      </c>
      <c r="B10" s="106">
        <f>SQRT(B6)*B8</f>
        <v>11.086437250491743</v>
      </c>
      <c r="C10" s="106">
        <f>SQRT(C6)*C8</f>
        <v>16.546584955337778</v>
      </c>
      <c r="D10" s="106">
        <f>SQRT(D6)*D8</f>
        <v>9.6000000000000014</v>
      </c>
      <c r="E10" s="106">
        <f>SQRT(E6)*E8</f>
        <v>13.185094704763102</v>
      </c>
      <c r="F10" s="106">
        <f>SQRT(F6)*F8</f>
        <v>22.071886264325169</v>
      </c>
    </row>
    <row r="11" spans="1:6" ht="17.399999999999999" x14ac:dyDescent="0.3">
      <c r="A11" s="53" t="s">
        <v>4847</v>
      </c>
      <c r="B11" s="106">
        <f>SUMIF(Woody!$M$10:$M$150,"&gt;=0")</f>
        <v>68</v>
      </c>
      <c r="C11" s="106">
        <f>SUMIF(Forbs!$M$10:$M$151,"&gt;=0")</f>
        <v>149.5</v>
      </c>
      <c r="D11" s="106">
        <f>SUMIF(Grasses!$M$10:$M$150,"&gt;=0")</f>
        <v>101.5</v>
      </c>
      <c r="E11" s="106">
        <f>AVERAGE(B11:D11)</f>
        <v>106.33333333333333</v>
      </c>
      <c r="F11" s="106">
        <f>SUM(B11:D11)</f>
        <v>319</v>
      </c>
    </row>
    <row r="12" spans="1:6" ht="17.399999999999999" x14ac:dyDescent="0.3">
      <c r="A12" s="53" t="s">
        <v>5388</v>
      </c>
      <c r="B12" s="106">
        <f>SUMIF(Woody!$F$10:$F$150,"Introduced",Woody!$L$10:$L$150)</f>
        <v>12</v>
      </c>
      <c r="C12" s="106">
        <f>SUMIF(Forbs!$F$10:$F$151,"Introduced",Forbs!$L$10:$L$151)</f>
        <v>30.5</v>
      </c>
      <c r="D12" s="106">
        <f>SUMIF(Grasses!$F$10:$F$150,"Introduced",Grasses!$L$10:$L$150)</f>
        <v>62.5</v>
      </c>
      <c r="E12" s="106">
        <f>AVERAGE(B12:D12)</f>
        <v>35</v>
      </c>
      <c r="F12" s="106">
        <f>SUM(B12:D12)</f>
        <v>105</v>
      </c>
    </row>
    <row r="13" spans="1:6" ht="18" thickBot="1" x14ac:dyDescent="0.35">
      <c r="A13" s="54" t="s">
        <v>4848</v>
      </c>
      <c r="B13" s="107">
        <f>B12/B11</f>
        <v>0.17647058823529413</v>
      </c>
      <c r="C13" s="107">
        <f>C12/C11</f>
        <v>0.20401337792642141</v>
      </c>
      <c r="D13" s="107">
        <f>D12/D11</f>
        <v>0.61576354679802958</v>
      </c>
      <c r="E13" s="107">
        <f>E12/E11</f>
        <v>0.32915360501567398</v>
      </c>
      <c r="F13" s="107">
        <f>F12/F11</f>
        <v>0.32915360501567398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1.992647058823529</v>
      </c>
      <c r="C15" s="105">
        <f>SUMIF(Forbs!$O$10:$O$150,"&gt;=0")</f>
        <v>2.5819397993311028</v>
      </c>
      <c r="D15" s="105">
        <f>SUMIF(Grasses!$O$10:$O$150,"&gt;=0")</f>
        <v>1.3004926108374386</v>
      </c>
      <c r="E15" s="105">
        <f>AVERAGE(B15:D15)</f>
        <v>1.9583598229973569</v>
      </c>
      <c r="F15" s="106">
        <f>SUM(B15:D15)</f>
        <v>5.8750794689920705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2022-02-03T19:47:49Z</dcterms:modified>
</cp:coreProperties>
</file>