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85164488-3AC9-45B4-9C6C-2C2510847509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4" i="6" l="1"/>
  <c r="C15" i="6"/>
  <c r="C16" i="6"/>
  <c r="C17" i="6"/>
  <c r="C18" i="6"/>
  <c r="C19" i="6"/>
  <c r="C20" i="6"/>
  <c r="C20" i="10"/>
  <c r="C22" i="10"/>
  <c r="C23" i="10"/>
  <c r="C24" i="10"/>
  <c r="C25" i="10"/>
  <c r="C26" i="10"/>
  <c r="C27" i="10"/>
  <c r="C28" i="10"/>
  <c r="C29" i="10"/>
  <c r="C30" i="10"/>
  <c r="C32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G21" i="9"/>
  <c r="H21" i="9"/>
  <c r="K21" i="9"/>
  <c r="L21" i="9" s="1"/>
  <c r="M21" i="9" s="1"/>
  <c r="B22" i="9"/>
  <c r="D22" i="9"/>
  <c r="E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D26" i="9"/>
  <c r="E26" i="9"/>
  <c r="G26" i="9"/>
  <c r="H26" i="9"/>
  <c r="K26" i="9"/>
  <c r="L26" i="9" s="1"/>
  <c r="M26" i="9" s="1"/>
  <c r="B27" i="9"/>
  <c r="D27" i="9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M29" i="9" s="1"/>
  <c r="B12" i="7" l="1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D37" i="9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B11" i="7" l="1"/>
  <c r="B13" i="7" s="1"/>
  <c r="B5" i="7"/>
  <c r="B4" i="7"/>
  <c r="B7" i="7"/>
  <c r="B8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9" i="7" l="1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<sst xmlns="http://schemas.openxmlformats.org/spreadsheetml/2006/main" count="13157" uniqueCount="5452">
  <si>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</si>
  <si>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</si>
  <si>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</si>
  <si>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</si>
  <si>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</si>
  <si>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</si>
  <si>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</si>
  <si>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</si>
  <si>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</si>
  <si>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</si>
  <si>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</si>
  <si>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</si>
  <si>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</si>
  <si>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</si>
  <si>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</si>
  <si>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</si>
  <si>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</si>
  <si>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</si>
  <si>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</si>
  <si>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</si>
  <si>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</si>
  <si>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</si>
  <si>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</si>
  <si>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</si>
  <si>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</si>
  <si>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</si>
  <si>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</si>
  <si>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</si>
  <si>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</si>
  <si>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</si>
  <si>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</si>
  <si>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</si>
  <si>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</si>
  <si>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</si>
  <si>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</si>
  <si>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</si>
  <si>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</si>
  <si>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</si>
  <si>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</si>
  <si>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</si>
  <si>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</si>
  <si>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</si>
  <si>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</si>
  <si>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</si>
  <si>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</si>
  <si>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</si>
  <si>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</si>
  <si>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</si>
  <si>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</si>
  <si>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</si>
  <si>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</si>
  <si>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</si>
  <si>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</si>
  <si>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</si>
  <si>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</si>
  <si>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</si>
  <si>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</si>
  <si>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</si>
  <si>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</si>
  <si>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</si>
  <si>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</si>
  <si>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</si>
  <si>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</si>
  <si>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</si>
  <si>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</si>
  <si>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</si>
  <si>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</si>
  <si>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</si>
  <si>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</si>
  <si>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</si>
  <si>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</si>
  <si>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</si>
  <si>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</si>
  <si>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</si>
  <si>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</si>
  <si>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</si>
  <si>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</si>
  <si>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</si>
  <si>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</si>
  <si>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</si>
  <si>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</si>
  <si>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</si>
  <si>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</si>
  <si>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</si>
  <si>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</si>
  <si>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</si>
  <si>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</si>
  <si>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</si>
  <si>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</si>
  <si>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</si>
  <si>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</si>
  <si>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</si>
  <si>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</si>
  <si>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</si>
  <si>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</si>
  <si>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</si>
  <si>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</si>
  <si>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</si>
  <si>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</si>
  <si>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</si>
  <si>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</si>
  <si>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</si>
  <si>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</si>
  <si>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</si>
  <si>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</si>
  <si>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</si>
  <si>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</si>
  <si>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</si>
  <si>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</si>
  <si>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</si>
  <si>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</si>
  <si>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</si>
  <si>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</si>
  <si>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</si>
  <si>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</si>
  <si>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</si>
  <si>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</si>
  <si>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</si>
  <si>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</si>
  <si>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</si>
  <si>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</si>
  <si>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</si>
  <si>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</si>
  <si>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</si>
  <si>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</si>
  <si>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</si>
  <si>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</si>
  <si>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</si>
  <si>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</si>
  <si>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</si>
  <si>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</si>
  <si>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</si>
  <si>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</si>
  <si>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</si>
  <si>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</si>
  <si>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</si>
  <si>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</si>
  <si>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</si>
  <si>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</si>
  <si>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</si>
  <si>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</si>
  <si>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</si>
  <si>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</si>
  <si>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</si>
  <si>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</si>
  <si>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</si>
  <si>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</si>
  <si>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</si>
  <si>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</si>
  <si>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</si>
  <si>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</si>
  <si>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</si>
  <si>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</si>
  <si>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</si>
  <si>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</si>
  <si>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</si>
  <si>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</si>
  <si>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</si>
  <si>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</si>
  <si>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</si>
  <si>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</si>
  <si>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</si>
  <si>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</si>
  <si>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</si>
  <si>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</si>
  <si>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</si>
  <si>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</si>
  <si>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</si>
  <si>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</si>
  <si>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</si>
  <si>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</si>
  <si>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</si>
  <si>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</si>
  <si>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</si>
  <si>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</si>
  <si>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</si>
  <si>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</si>
  <si>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</si>
  <si>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</si>
  <si>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</si>
  <si>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</si>
  <si>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</si>
  <si>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</si>
  <si>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</si>
  <si>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</si>
  <si>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</si>
  <si>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</si>
  <si>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</si>
  <si>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</si>
  <si>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</si>
  <si>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</si>
  <si>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</si>
  <si>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</si>
  <si>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</si>
  <si>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</si>
  <si>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</si>
  <si>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</si>
  <si>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</si>
  <si>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</si>
  <si>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</si>
  <si>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</si>
  <si>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</si>
  <si>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</si>
  <si>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</si>
  <si>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</si>
  <si>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</si>
  <si>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</si>
  <si>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</si>
  <si>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</si>
  <si>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</si>
  <si>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</si>
  <si>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</si>
  <si>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</si>
  <si>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</si>
  <si>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</si>
  <si>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</si>
  <si>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</si>
  <si>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</si>
  <si>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</si>
  <si>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</si>
  <si>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</si>
  <si>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</si>
  <si>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</si>
  <si>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</si>
  <si>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</si>
  <si>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</si>
  <si>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</si>
  <si>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</si>
  <si>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</si>
  <si>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</si>
  <si>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</si>
  <si>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</si>
  <si>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</si>
  <si>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</si>
  <si>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</si>
  <si>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</si>
  <si>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</si>
  <si>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</si>
  <si>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</si>
  <si>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</si>
  <si>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</si>
  <si>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</si>
  <si>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</si>
  <si>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</si>
  <si>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</si>
  <si>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</si>
  <si>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</si>
  <si>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</si>
  <si>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</si>
  <si>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</si>
  <si>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</si>
  <si>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</si>
  <si>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</si>
  <si>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</si>
  <si>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</si>
  <si>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</si>
  <si>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</si>
  <si>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</si>
  <si>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</si>
  <si>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</si>
  <si>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</si>
  <si>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</si>
  <si>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</si>
  <si>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</si>
  <si>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</si>
  <si>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</si>
  <si>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</si>
  <si>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</si>
  <si>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</si>
  <si>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</si>
  <si>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</si>
  <si>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</si>
  <si>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</si>
  <si>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</si>
  <si>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</si>
  <si>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</si>
  <si>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</si>
  <si>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</si>
  <si>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</si>
  <si>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</si>
  <si>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</si>
  <si>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</si>
  <si>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</si>
  <si>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</si>
  <si>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</si>
  <si>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</si>
  <si>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</si>
  <si>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</si>
  <si>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</si>
  <si>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</si>
  <si>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</si>
  <si>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</si>
  <si>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</si>
  <si>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</si>
  <si>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</si>
  <si>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</si>
  <si>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</si>
  <si>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</si>
  <si>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</si>
  <si>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</si>
  <si>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</si>
  <si>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</si>
  <si>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</si>
  <si>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</si>
  <si>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</si>
  <si>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</si>
  <si>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</si>
  <si>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</si>
  <si>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</si>
  <si>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</si>
  <si>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</si>
  <si>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</si>
  <si>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</si>
  <si>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</si>
  <si>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</si>
  <si>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</si>
  <si>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</si>
  <si>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</si>
  <si>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</si>
  <si>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</si>
  <si>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</si>
  <si>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</si>
  <si>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</si>
  <si>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</si>
  <si>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</si>
  <si>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</si>
  <si>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</si>
  <si>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</si>
  <si>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</si>
  <si>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</si>
  <si>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</si>
  <si>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</si>
  <si>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</si>
  <si>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</si>
  <si>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</si>
  <si>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</si>
  <si>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</si>
  <si>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</si>
  <si>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</si>
  <si>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</si>
  <si>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</si>
  <si>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</si>
  <si>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</si>
  <si>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</si>
  <si>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</si>
  <si>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</si>
  <si>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</si>
  <si>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</si>
  <si>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</si>
  <si>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</si>
  <si>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</si>
  <si>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</si>
  <si>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</si>
  <si>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</si>
  <si>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</si>
  <si>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</si>
  <si>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</si>
  <si>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</si>
  <si>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</si>
  <si>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</si>
  <si>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</si>
  <si>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</si>
  <si>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</si>
  <si>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</si>
  <si>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</si>
  <si>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</si>
  <si>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</si>
  <si>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</si>
  <si>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</si>
  <si>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</si>
  <si>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</si>
  <si>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</si>
  <si>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</si>
  <si>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</si>
  <si>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</si>
  <si>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</si>
  <si>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</si>
  <si>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</si>
  <si>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</si>
  <si>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</si>
  <si>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</si>
  <si>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</si>
  <si>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</si>
  <si>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</si>
  <si>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</si>
  <si>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</si>
  <si>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</si>
  <si>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</si>
  <si>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</si>
  <si>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</si>
  <si>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</si>
  <si>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</si>
  <si>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</si>
  <si>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</si>
  <si>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</si>
  <si>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</si>
  <si>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</si>
  <si>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</si>
  <si>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</si>
  <si>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</si>
  <si>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</si>
  <si>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</si>
  <si>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</si>
  <si>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</si>
  <si>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</si>
  <si>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</si>
  <si>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</si>
  <si>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</si>
  <si>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</si>
  <si>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</si>
  <si>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</si>
  <si>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</si>
  <si>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</si>
  <si>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</si>
  <si>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</si>
  <si>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</si>
  <si>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</si>
  <si>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</si>
  <si>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</si>
  <si>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</si>
  <si>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</si>
  <si>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</si>
  <si>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</si>
  <si>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</si>
  <si>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</si>
  <si>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</si>
  <si>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</si>
  <si>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</si>
  <si>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</si>
  <si>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</si>
  <si>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</si>
  <si>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</si>
  <si>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</si>
  <si>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</si>
  <si>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</si>
  <si>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</si>
  <si>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</si>
  <si>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</si>
  <si>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</si>
  <si>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</si>
  <si>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</si>
  <si>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</si>
  <si>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</si>
  <si>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</si>
  <si>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</si>
  <si>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</si>
  <si>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</si>
  <si>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</si>
  <si>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</si>
  <si>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</si>
  <si>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</si>
  <si>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</si>
  <si>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</si>
  <si>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</si>
  <si>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</si>
  <si>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</si>
  <si>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</si>
  <si>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</si>
  <si>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</si>
  <si>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</si>
  <si>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</si>
  <si>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</si>
  <si>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</si>
  <si>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</si>
  <si>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</si>
  <si>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</si>
  <si>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</si>
  <si>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</si>
  <si>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</si>
  <si>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</si>
  <si>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</si>
  <si>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</si>
  <si>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</si>
  <si>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</si>
  <si>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</si>
  <si>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</si>
  <si>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</si>
  <si>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</si>
  <si>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</si>
  <si>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</si>
  <si>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</si>
  <si>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</si>
  <si>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</si>
  <si>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</si>
  <si>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</si>
  <si>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</si>
  <si>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</si>
  <si>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</si>
  <si>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</si>
  <si>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</si>
  <si>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</si>
  <si>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</si>
  <si>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</si>
  <si>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</si>
  <si>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</si>
  <si>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</si>
  <si>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</si>
  <si>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</si>
  <si>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</si>
  <si>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</si>
  <si>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</si>
  <si>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</si>
  <si>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</si>
  <si>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</si>
  <si>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</si>
  <si>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</si>
  <si>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</si>
  <si>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</si>
  <si>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</si>
  <si>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</si>
  <si>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</si>
  <si>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</si>
  <si>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</si>
  <si>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</si>
  <si>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</si>
  <si>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</si>
  <si>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</si>
  <si>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</si>
  <si>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</si>
  <si>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</si>
  <si>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</si>
  <si>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</si>
  <si>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</si>
  <si>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</si>
  <si>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</si>
  <si>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</si>
  <si>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</si>
  <si>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</si>
  <si>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</si>
  <si>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</si>
  <si>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</si>
  <si>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</si>
  <si>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</si>
  <si>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</si>
  <si>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</si>
  <si>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</si>
  <si>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</si>
  <si>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</si>
  <si>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</si>
  <si>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</si>
  <si>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</si>
  <si>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</si>
  <si>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</si>
  <si>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</si>
  <si>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</si>
  <si>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</si>
  <si>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</si>
  <si>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</si>
  <si>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</si>
  <si>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</si>
  <si>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</si>
  <si>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</si>
  <si>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</si>
  <si>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</si>
  <si>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</si>
  <si>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</si>
  <si>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</si>
  <si>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</si>
  <si>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</si>
  <si>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</si>
  <si>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</si>
  <si>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</si>
  <si>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</si>
  <si>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</si>
  <si>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</si>
  <si>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</si>
  <si>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</si>
  <si>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</si>
  <si>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</si>
  <si>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</si>
  <si>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</si>
  <si>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</si>
  <si>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</si>
  <si>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</si>
  <si>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</si>
  <si>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</si>
  <si>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</si>
  <si>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</si>
  <si>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</si>
  <si>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</si>
  <si>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</si>
  <si>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</si>
  <si>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</si>
  <si>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</si>
  <si>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</si>
  <si>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</si>
  <si>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</si>
  <si>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</si>
  <si>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</si>
  <si>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</si>
  <si>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</si>
  <si>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</si>
  <si>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</si>
  <si>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</si>
  <si>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</si>
  <si>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</si>
  <si>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</si>
  <si>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</si>
  <si>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</si>
  <si>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</si>
  <si>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</si>
  <si>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</si>
  <si>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</si>
  <si>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</si>
  <si>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</si>
  <si>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</si>
  <si>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</si>
  <si>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</si>
  <si>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</si>
  <si>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</si>
  <si>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</si>
  <si>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</si>
  <si>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</si>
  <si>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</si>
  <si>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</si>
  <si>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</si>
  <si>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</si>
  <si>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</si>
  <si>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</si>
  <si>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</si>
  <si>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</si>
  <si>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</si>
  <si>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</si>
  <si>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</si>
  <si>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</si>
  <si>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</si>
  <si>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</si>
  <si>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</si>
  <si>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</si>
  <si>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</si>
  <si>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</si>
  <si>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</si>
  <si>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</si>
  <si>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</si>
  <si>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</si>
  <si>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</si>
  <si>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</si>
  <si>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</si>
  <si>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</si>
  <si>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</si>
  <si>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</si>
  <si>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</si>
  <si>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</si>
  <si>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</si>
  <si>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</si>
  <si>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</si>
  <si>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</si>
  <si>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</si>
  <si>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</si>
  <si>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</si>
  <si>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</si>
  <si>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</si>
  <si>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</si>
  <si>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</si>
  <si>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</si>
  <si>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</si>
  <si>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</si>
  <si>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</si>
  <si>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</si>
  <si>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</si>
  <si>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</si>
  <si>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</si>
  <si>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</si>
  <si>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</si>
  <si>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</si>
  <si>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</si>
  <si>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</si>
  <si>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</si>
  <si>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</si>
  <si>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</si>
  <si>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</si>
  <si>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</si>
  <si>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</si>
  <si>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</si>
  <si>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</si>
  <si>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</si>
  <si>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</si>
  <si>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</si>
  <si>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</si>
  <si>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</si>
  <si>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</si>
  <si>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</si>
  <si>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</si>
  <si>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</si>
  <si>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</si>
  <si>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</si>
  <si>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</si>
  <si>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</si>
  <si>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</si>
  <si>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</si>
  <si>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</si>
  <si>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</si>
  <si>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</si>
  <si>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</si>
  <si>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</si>
  <si>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</si>
  <si>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</si>
  <si>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</si>
  <si>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</si>
  <si>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</si>
  <si>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</si>
  <si>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</si>
  <si>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</si>
  <si>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</si>
  <si>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</si>
  <si>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</si>
  <si>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</si>
  <si>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</si>
  <si>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</si>
  <si>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</si>
  <si>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</si>
  <si>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</si>
  <si>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</si>
  <si>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</si>
  <si>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</si>
  <si>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</si>
  <si>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</si>
  <si>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</si>
  <si>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</si>
  <si>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</si>
  <si>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</si>
  <si>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</si>
  <si>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</si>
  <si>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</si>
  <si>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</si>
  <si>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</si>
  <si>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</si>
  <si>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</si>
  <si>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</si>
  <si>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</si>
  <si>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</si>
  <si>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</si>
  <si>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</si>
  <si>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</si>
  <si>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</si>
  <si>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</si>
  <si>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</si>
  <si>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</si>
  <si>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</si>
  <si>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</si>
  <si>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</si>
  <si>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</si>
  <si>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</si>
  <si>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</si>
  <si>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</si>
  <si>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</si>
  <si>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</si>
  <si>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</si>
  <si>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</si>
  <si>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</si>
  <si>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</si>
  <si>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</si>
  <si>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</si>
  <si>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</si>
  <si>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</si>
  <si>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</si>
  <si>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</si>
  <si>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</si>
  <si>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</si>
  <si>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</si>
  <si>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</si>
  <si>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</si>
  <si>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</si>
  <si>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</si>
  <si>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</si>
  <si>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</si>
  <si>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</si>
  <si>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</si>
  <si>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</si>
  <si>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</si>
  <si>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</si>
  <si>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</si>
  <si>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</si>
  <si>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</si>
  <si>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</si>
  <si>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</si>
  <si>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</si>
  <si>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</si>
  <si>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</si>
  <si>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</si>
  <si>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</si>
  <si>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</si>
  <si>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</si>
  <si>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</si>
  <si>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</si>
  <si>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</si>
  <si>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</si>
  <si>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</si>
  <si>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</si>
  <si>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</si>
  <si>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</si>
  <si>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</si>
  <si>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</si>
  <si>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</si>
  <si>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</si>
  <si>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</si>
  <si>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</si>
  <si>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</si>
  <si>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</si>
  <si>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</si>
  <si>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</si>
  <si>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</si>
  <si>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</si>
  <si>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</si>
  <si>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</si>
  <si>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</si>
  <si>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</si>
  <si>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</si>
  <si>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</si>
  <si>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</si>
  <si>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</si>
  <si>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</si>
  <si>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</si>
  <si>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</si>
  <si>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</si>
  <si>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</si>
  <si>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</si>
  <si>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</si>
  <si>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</si>
  <si>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</si>
  <si>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</si>
  <si>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</si>
  <si>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</si>
  <si>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</si>
  <si>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</si>
  <si>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</si>
  <si>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</si>
  <si>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</si>
  <si>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</si>
  <si>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</si>
  <si>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</si>
  <si>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</si>
  <si>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</si>
  <si>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</si>
  <si>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</si>
  <si>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</si>
  <si>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</si>
  <si>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</si>
  <si>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</si>
  <si>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</si>
  <si>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</si>
  <si>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</si>
  <si>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</si>
  <si>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</si>
  <si>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</si>
  <si>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</si>
  <si>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</si>
  <si>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</si>
  <si>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</si>
  <si>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</si>
  <si>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</si>
  <si>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</si>
  <si>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</si>
  <si>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</si>
  <si>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</si>
  <si>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</si>
  <si>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</si>
  <si>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</si>
  <si>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</si>
  <si>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</si>
  <si>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</si>
  <si>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</si>
  <si>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</si>
  <si>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</si>
  <si>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</si>
  <si>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</si>
  <si>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</si>
  <si>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</si>
  <si>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</si>
  <si>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</si>
  <si>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</si>
  <si>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</si>
  <si>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</si>
  <si>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</si>
  <si>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</si>
  <si>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</si>
  <si>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</si>
  <si>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</si>
  <si>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</si>
  <si>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</si>
  <si>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</si>
  <si>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</si>
  <si>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</si>
  <si>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</si>
  <si>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</si>
  <si>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</si>
  <si>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</si>
  <si>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</si>
  <si>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</si>
  <si>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</si>
  <si>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</si>
  <si>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</si>
  <si>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</si>
  <si>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</si>
  <si>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</si>
  <si>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</si>
  <si>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</si>
  <si>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</si>
  <si>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</si>
  <si>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</si>
  <si>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</si>
  <si>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</si>
  <si>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</si>
  <si>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</si>
  <si>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</si>
  <si>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</si>
  <si>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</si>
  <si>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</si>
  <si>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</si>
  <si>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</si>
  <si>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</si>
  <si>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</si>
  <si>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</si>
  <si>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</si>
  <si>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</si>
  <si>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</si>
  <si>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</si>
  <si>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</si>
  <si>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</si>
  <si>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</si>
  <si>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</si>
  <si>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</si>
  <si>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</si>
  <si>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</si>
  <si>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</si>
  <si>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</si>
  <si>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</si>
  <si>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</si>
  <si>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</si>
  <si>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</si>
  <si>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</si>
  <si>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</si>
  <si>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</si>
  <si>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</si>
  <si>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</si>
  <si>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</si>
  <si>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</si>
  <si>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</si>
  <si>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</si>
  <si>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</si>
  <si>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</si>
  <si>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</si>
  <si>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</si>
  <si>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</si>
  <si>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</si>
  <si>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</si>
  <si>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</si>
  <si>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</si>
  <si>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</si>
  <si>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</si>
  <si>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</si>
  <si>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</si>
  <si>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</si>
  <si>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</si>
  <si>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</si>
  <si>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</si>
  <si>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</si>
  <si>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</si>
  <si>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</si>
  <si>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</si>
  <si>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</si>
  <si>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</si>
  <si>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</si>
  <si>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</si>
  <si>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</si>
  <si>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</si>
  <si>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</si>
  <si>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</si>
  <si>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</si>
  <si>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</si>
  <si>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</si>
  <si>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</si>
  <si>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</si>
  <si>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</si>
  <si>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</si>
  <si>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</si>
  <si>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</si>
  <si>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</si>
  <si>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</si>
  <si>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</si>
  <si>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</si>
  <si>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</si>
  <si>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</si>
  <si>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</si>
  <si>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</si>
  <si>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</si>
  <si>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</si>
  <si>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</si>
  <si>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</si>
  <si>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</si>
  <si>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</si>
  <si>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</si>
  <si>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</si>
  <si>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</si>
  <si>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</si>
  <si>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</si>
  <si>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</si>
  <si>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</si>
  <si>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</si>
  <si>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</si>
  <si>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</si>
  <si>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</si>
  <si>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</si>
  <si>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</si>
  <si>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</si>
  <si>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</si>
  <si>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</si>
  <si>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</si>
  <si>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</si>
  <si>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</si>
  <si>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</si>
  <si>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</si>
  <si>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</si>
  <si>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</si>
  <si>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</si>
  <si>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</si>
  <si>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</si>
  <si>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</si>
  <si>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</si>
  <si>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</si>
  <si>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</si>
  <si>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</si>
  <si>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</si>
  <si>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</si>
  <si>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</si>
  <si>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</si>
  <si>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</si>
  <si>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</si>
  <si>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</si>
  <si>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</si>
  <si>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</si>
  <si>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</si>
  <si>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</si>
  <si>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</si>
  <si>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</si>
  <si>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</si>
  <si>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</si>
  <si>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</si>
  <si>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</si>
  <si>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</si>
  <si>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</si>
  <si>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</si>
  <si>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</si>
  <si>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</si>
  <si>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</si>
  <si>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</si>
  <si>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</si>
  <si>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</si>
  <si>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</si>
  <si>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</si>
  <si>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</si>
  <si>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</si>
  <si>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</si>
  <si>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</si>
  <si>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</si>
  <si>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</si>
  <si>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</si>
  <si>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</si>
  <si>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</si>
  <si>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</si>
  <si>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</si>
  <si>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</si>
  <si>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</si>
  <si>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</si>
  <si>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</si>
  <si>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</si>
  <si>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</si>
  <si>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</si>
  <si>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</si>
  <si>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</si>
  <si>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</si>
  <si>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</si>
  <si>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</si>
  <si>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</si>
  <si>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</si>
  <si>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</si>
  <si>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</si>
  <si>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</si>
  <si>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</si>
  <si>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</si>
  <si>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</si>
  <si>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</si>
  <si>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</si>
  <si>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</si>
  <si>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</si>
  <si>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</si>
  <si>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</si>
  <si>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</si>
  <si>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</si>
  <si>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</si>
  <si>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</si>
  <si>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</si>
  <si>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</si>
  <si>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</si>
  <si>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</si>
  <si>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</si>
  <si>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</si>
  <si>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</si>
  <si>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</si>
  <si>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</si>
  <si>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</si>
  <si>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</si>
  <si>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</si>
  <si>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</si>
  <si>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</si>
  <si>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</si>
  <si>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</si>
  <si>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</si>
  <si>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</si>
  <si>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</si>
  <si>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</si>
  <si>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</si>
  <si>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</si>
  <si>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</si>
  <si>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</si>
  <si>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</si>
  <si>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</si>
  <si>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</si>
  <si>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</si>
  <si>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</si>
  <si>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</si>
  <si>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</si>
  <si>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</si>
  <si>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</si>
  <si>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</si>
  <si>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</si>
  <si>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</si>
  <si>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</si>
  <si>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</si>
  <si>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</si>
  <si>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</si>
  <si>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</si>
  <si>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</si>
  <si>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</si>
  <si>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</si>
  <si>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</si>
  <si>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</si>
  <si>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</si>
  <si>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</si>
  <si>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</si>
  <si>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</si>
  <si>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</si>
  <si>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</si>
  <si>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</si>
  <si>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</si>
  <si>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</si>
  <si>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</si>
  <si>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</si>
  <si>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</si>
  <si>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</si>
  <si>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</si>
  <si>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</si>
  <si>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</si>
  <si>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</si>
  <si>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</si>
  <si>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</si>
  <si>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</si>
  <si>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</si>
  <si>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</si>
  <si>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</si>
  <si>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</si>
  <si>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</si>
  <si>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</si>
  <si>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</si>
  <si>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</si>
  <si>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</si>
  <si>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</si>
  <si>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</si>
  <si>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</si>
  <si>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</si>
  <si>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</si>
  <si>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</si>
  <si>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</si>
  <si>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</si>
  <si>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</si>
  <si>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</si>
  <si>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</si>
  <si>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</si>
  <si>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</si>
  <si>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</si>
  <si>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</si>
  <si>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</si>
  <si>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</si>
  <si>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</si>
  <si>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</si>
  <si>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</si>
  <si>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</si>
  <si>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</si>
  <si>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</si>
  <si>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</si>
  <si>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</si>
  <si>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</si>
  <si>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</si>
  <si>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</si>
  <si>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</si>
  <si>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</si>
  <si>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</si>
  <si>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</si>
  <si>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</si>
  <si>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</si>
  <si>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</si>
  <si>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</si>
  <si>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</si>
  <si>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</si>
  <si>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</si>
  <si>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</si>
  <si>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</si>
  <si>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</si>
  <si>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</si>
  <si>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</si>
  <si>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</si>
  <si>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</si>
  <si>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</si>
  <si>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</si>
  <si>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</si>
  <si>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</si>
  <si>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</si>
  <si>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</si>
  <si>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</si>
  <si>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</si>
  <si>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</si>
  <si>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</si>
  <si>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</si>
  <si>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</si>
  <si>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</si>
  <si>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</si>
  <si>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</si>
  <si>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</si>
  <si>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</si>
  <si>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</si>
  <si>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</si>
  <si>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</si>
  <si>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</si>
  <si>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</si>
  <si>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</si>
  <si>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</si>
  <si>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</si>
  <si>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</si>
  <si>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</si>
  <si>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</si>
  <si>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</si>
  <si>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</si>
  <si>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</si>
  <si>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</si>
  <si>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</si>
  <si>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</si>
  <si>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</si>
  <si>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</si>
  <si>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</si>
  <si>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</si>
  <si>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</si>
  <si>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</si>
  <si>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</si>
  <si>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</si>
  <si>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</si>
  <si>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</si>
  <si>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</si>
  <si>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</si>
  <si>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</si>
  <si>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</si>
  <si>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</si>
  <si>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</si>
  <si>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</si>
  <si>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</si>
  <si>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</si>
  <si>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</si>
  <si>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</si>
  <si>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</si>
  <si>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</si>
  <si>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</si>
  <si>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</si>
  <si>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</si>
  <si>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</si>
  <si>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</si>
  <si>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</si>
  <si>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</si>
  <si>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</si>
  <si>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</si>
  <si>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</si>
  <si>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</si>
  <si>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</si>
  <si>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</si>
  <si>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</si>
  <si>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</si>
  <si>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</si>
  <si>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</si>
  <si>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</si>
  <si>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</si>
  <si>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</si>
  <si>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</si>
  <si>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</si>
  <si>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</si>
  <si>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</si>
  <si>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</si>
  <si>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</si>
  <si>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</si>
  <si>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</si>
  <si>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</si>
  <si>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</si>
  <si>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</si>
  <si>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</si>
  <si>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</si>
  <si>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</si>
  <si>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</si>
  <si>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</si>
  <si>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</si>
  <si>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</si>
  <si>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</si>
  <si>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</si>
  <si>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</si>
  <si>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</si>
  <si>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</si>
  <si>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</si>
  <si>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</si>
  <si>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</si>
  <si>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</si>
  <si>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</si>
  <si>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</si>
  <si>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</si>
  <si>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</si>
  <si>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</si>
  <si>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</si>
  <si>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</si>
  <si>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</si>
  <si>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</si>
  <si>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</si>
  <si>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</si>
  <si>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</si>
  <si>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</si>
  <si>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</si>
  <si>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</si>
  <si>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</si>
  <si>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</si>
  <si>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</si>
  <si>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</si>
  <si>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</si>
  <si>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</si>
  <si>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</si>
  <si>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</si>
  <si>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</si>
  <si>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</si>
  <si>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</si>
  <si>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</si>
  <si>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</si>
  <si>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</si>
  <si>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</si>
  <si>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</si>
  <si>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</si>
  <si>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</si>
  <si>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</si>
  <si>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</si>
  <si>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</si>
  <si>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</si>
  <si>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</si>
  <si>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</si>
  <si>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</si>
  <si>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</si>
  <si>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</si>
  <si>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</si>
  <si>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</si>
  <si>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</si>
  <si>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</si>
  <si>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</si>
  <si>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</si>
  <si>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</si>
  <si>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</si>
  <si>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</si>
  <si>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</si>
  <si>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</si>
  <si>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</si>
  <si>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</si>
  <si>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</si>
  <si>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</si>
  <si>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</si>
  <si>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</si>
  <si>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</si>
  <si>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</si>
  <si>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</si>
  <si>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</si>
  <si>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</si>
  <si>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</si>
  <si>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</si>
  <si>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</si>
  <si>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</si>
  <si>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</si>
  <si>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</si>
  <si>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</si>
  <si>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</si>
  <si>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</si>
  <si>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</si>
  <si>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</si>
  <si>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</si>
  <si>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</si>
  <si>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</si>
  <si>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</si>
  <si>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</si>
  <si>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</si>
  <si>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</si>
  <si>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</si>
  <si>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</si>
  <si>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</si>
  <si>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</si>
  <si>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</si>
  <si>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</si>
  <si>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</si>
  <si>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</si>
  <si>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</si>
  <si>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</si>
  <si>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</si>
  <si>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</si>
  <si>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</si>
  <si>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</si>
  <si>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</si>
  <si>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</si>
  <si>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</si>
  <si>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</si>
  <si>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</si>
  <si>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</si>
  <si>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</si>
  <si>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</si>
  <si>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</si>
  <si>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</si>
  <si>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</si>
  <si>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</si>
  <si>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</si>
  <si>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</si>
  <si>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</si>
  <si>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</si>
  <si>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</si>
  <si>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</si>
  <si>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</si>
  <si>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</si>
  <si>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</si>
  <si>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</si>
  <si>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</si>
  <si>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</si>
  <si>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</si>
  <si>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</si>
  <si>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</si>
  <si>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</si>
  <si>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</si>
  <si>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</si>
  <si>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</si>
  <si>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</si>
  <si>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</si>
  <si>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</si>
  <si>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</si>
  <si>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</si>
  <si>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</si>
  <si>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</si>
  <si>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</si>
  <si>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</si>
  <si>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</si>
  <si>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</si>
  <si>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</si>
  <si>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</si>
  <si>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</si>
  <si>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</si>
  <si>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</si>
  <si>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</si>
  <si>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</si>
  <si>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</si>
  <si>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</si>
  <si>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</si>
  <si>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</si>
  <si>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</si>
  <si>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</si>
  <si>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</si>
  <si>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</si>
  <si>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</si>
  <si>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</si>
  <si>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</si>
  <si>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</si>
  <si>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</si>
  <si>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</si>
  <si>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</si>
  <si>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</si>
  <si>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</si>
  <si>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</si>
  <si>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</si>
  <si>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</si>
  <si>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</si>
  <si>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</si>
  <si>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</si>
  <si>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</si>
  <si>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</si>
  <si>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</si>
  <si>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</si>
  <si>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</si>
  <si>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</si>
  <si>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</si>
  <si>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</si>
  <si>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</si>
  <si>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</si>
  <si>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</si>
  <si>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</si>
  <si>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</si>
  <si>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</si>
  <si>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</si>
  <si>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</si>
  <si>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</si>
  <si>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</si>
  <si>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</si>
  <si>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</si>
  <si>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</si>
  <si>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</si>
  <si>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</si>
  <si>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</si>
  <si>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</si>
  <si>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</si>
  <si>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</si>
  <si>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</si>
  <si>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</si>
  <si>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</si>
  <si>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</si>
  <si>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</si>
  <si>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</si>
  <si>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</si>
  <si>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</si>
  <si>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</si>
  <si>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</si>
  <si>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</si>
  <si>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</si>
  <si>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</si>
  <si>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</si>
  <si>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</si>
  <si>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</si>
  <si>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</si>
  <si>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</si>
  <si>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</si>
  <si>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</si>
  <si>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</si>
  <si>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</si>
  <si>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</si>
  <si>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</si>
  <si>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</si>
  <si>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</si>
  <si>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</si>
  <si>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</si>
  <si>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</si>
  <si>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</si>
  <si>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</si>
  <si>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</si>
  <si>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</si>
  <si>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</si>
  <si>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</si>
  <si>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</si>
  <si>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</si>
  <si>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</si>
  <si>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</si>
  <si>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</si>
  <si>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</si>
  <si>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</si>
  <si>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</si>
  <si>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</si>
  <si>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</si>
  <si>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</si>
  <si>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</si>
  <si>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</si>
  <si>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</si>
  <si>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</si>
  <si>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</si>
  <si>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</si>
  <si>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</si>
  <si>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</si>
  <si>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</si>
  <si>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</si>
  <si>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</si>
  <si>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</si>
  <si>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</si>
  <si>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</si>
  <si>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</si>
  <si>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</si>
  <si>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</si>
  <si>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</si>
  <si>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</si>
  <si>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</si>
  <si>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</si>
  <si>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</si>
  <si>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</si>
  <si>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</si>
  <si>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</si>
  <si>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</si>
  <si>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</si>
  <si>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</si>
  <si>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</si>
  <si>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</si>
  <si>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</si>
  <si>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</si>
  <si>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</si>
  <si>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</si>
  <si>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</si>
  <si>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</si>
  <si>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</si>
  <si>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</si>
  <si>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</si>
  <si>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</si>
  <si>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</si>
  <si>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</si>
  <si>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</si>
  <si>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</si>
  <si>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</si>
  <si>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</si>
  <si>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</si>
  <si>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</si>
  <si>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</si>
  <si>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</si>
  <si>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</si>
  <si>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</si>
  <si>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</si>
  <si>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</si>
  <si>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</si>
  <si>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</si>
  <si>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</si>
  <si>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</si>
  <si>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</si>
  <si>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</si>
  <si>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</si>
  <si>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</si>
  <si>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</si>
  <si>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</si>
  <si>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</si>
  <si>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</si>
  <si>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</si>
  <si>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</si>
  <si>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</si>
  <si>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</si>
  <si>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</si>
  <si>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</si>
  <si>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</si>
  <si>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</si>
  <si>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</si>
  <si>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</si>
  <si>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</si>
  <si>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</si>
  <si>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</si>
  <si>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</si>
  <si>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</si>
  <si>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</si>
  <si>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</si>
  <si>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</si>
  <si>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</si>
  <si>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</si>
  <si>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</si>
  <si>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</si>
  <si>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</si>
  <si>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</si>
  <si>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</si>
  <si>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</si>
  <si>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</si>
  <si>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</si>
  <si>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</si>
  <si>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</si>
  <si>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</si>
  <si>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</si>
  <si>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</si>
  <si>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</si>
  <si>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</si>
  <si>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</si>
  <si>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</si>
  <si>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</si>
  <si>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</si>
  <si>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</si>
  <si>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</si>
  <si>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</si>
  <si>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</si>
  <si>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</si>
  <si>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</si>
  <si>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</si>
  <si>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</si>
  <si>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</si>
  <si>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</si>
  <si>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</si>
  <si>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</si>
  <si>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</si>
  <si>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</si>
  <si>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</si>
  <si>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</si>
  <si>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</si>
  <si>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</si>
  <si>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</si>
  <si>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</si>
  <si>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</si>
  <si>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</si>
  <si>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</si>
  <si>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</si>
  <si>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</si>
  <si>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</si>
  <si>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</si>
  <si>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</si>
  <si>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</si>
  <si>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</si>
  <si>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</si>
  <si>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</si>
  <si>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</si>
  <si>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</si>
  <si>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</si>
  <si>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</si>
  <si>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</si>
  <si>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</si>
  <si>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</si>
  <si>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</si>
  <si>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</si>
  <si>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</si>
  <si>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</si>
  <si>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</si>
  <si>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</si>
  <si>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</si>
  <si>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</si>
  <si>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</si>
  <si>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</si>
  <si>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</si>
  <si>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</si>
  <si>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</si>
  <si>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</si>
  <si>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</si>
  <si>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</si>
  <si>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</si>
  <si>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</si>
  <si>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</si>
  <si>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</si>
  <si>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</si>
  <si>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</si>
  <si>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</si>
  <si>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</si>
  <si>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</si>
  <si>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</si>
  <si>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</si>
  <si>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</si>
  <si>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</si>
  <si>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</si>
  <si>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</si>
  <si>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</si>
  <si>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</si>
  <si>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</si>
  <si>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</si>
  <si>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</si>
  <si>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</si>
  <si>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</si>
  <si>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</si>
  <si>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</si>
  <si>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</si>
  <si>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</si>
  <si>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</si>
  <si>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</si>
  <si>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</si>
  <si>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</si>
  <si>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</si>
  <si>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</si>
  <si>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</si>
  <si>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</si>
  <si>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</si>
  <si>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</si>
  <si>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</si>
  <si>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</si>
  <si>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</si>
  <si>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</si>
  <si>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</si>
  <si>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</si>
  <si>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</si>
  <si>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</si>
  <si>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</si>
  <si>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</si>
  <si>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</si>
  <si>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</si>
  <si>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</si>
  <si>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</si>
  <si>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</si>
  <si>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</si>
  <si>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</si>
  <si>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</si>
  <si>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</si>
  <si>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</si>
  <si>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</si>
  <si>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</si>
  <si>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</si>
  <si>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</si>
  <si>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</si>
  <si>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</si>
  <si>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</si>
  <si>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</si>
  <si>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</si>
  <si>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</si>
  <si>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</si>
  <si>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</si>
  <si>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</si>
  <si>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</si>
  <si>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</si>
  <si>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</si>
  <si>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</si>
  <si>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</si>
  <si>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</si>
  <si>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</si>
  <si>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</si>
  <si>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</si>
  <si>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</si>
  <si>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</si>
  <si>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</si>
  <si>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</si>
  <si>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</si>
  <si>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</si>
  <si>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</si>
  <si>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</si>
  <si>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</si>
  <si>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</si>
  <si>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</si>
  <si>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</si>
  <si>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</si>
  <si>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</si>
  <si>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</si>
  <si>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</si>
  <si>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</si>
  <si>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</si>
  <si>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</si>
  <si>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</si>
  <si>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</si>
  <si>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</si>
  <si>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</si>
  <si>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</si>
  <si>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</si>
  <si>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</si>
  <si>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</si>
  <si>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</si>
  <si>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</si>
  <si>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</si>
  <si>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</si>
  <si>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</si>
  <si>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</si>
  <si>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</si>
  <si>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</si>
  <si>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</si>
  <si>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</si>
  <si>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</si>
  <si>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</si>
  <si>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</si>
  <si>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</si>
  <si>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</si>
  <si>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</si>
  <si>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</si>
  <si>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</si>
  <si>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</si>
  <si>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</si>
  <si>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</si>
  <si>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</si>
  <si>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</si>
  <si>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</si>
  <si>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</si>
  <si>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</si>
  <si>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</si>
  <si>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</si>
  <si>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</si>
  <si>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</si>
  <si>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</si>
  <si>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</si>
  <si>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</si>
  <si>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</si>
  <si>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</si>
  <si>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</si>
  <si>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</si>
  <si>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</si>
  <si>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</si>
  <si>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</si>
  <si>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</si>
  <si>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</si>
  <si>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</si>
  <si>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</si>
  <si>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</si>
  <si>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</si>
  <si>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</si>
  <si>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</si>
  <si>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</si>
  <si>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</si>
  <si>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</si>
  <si>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</si>
  <si>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</si>
  <si>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</si>
  <si>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</si>
  <si>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</si>
  <si>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</si>
  <si>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</si>
  <si>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</si>
  <si>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</si>
  <si>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</si>
  <si>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</si>
  <si>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</si>
  <si>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</si>
  <si>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</si>
  <si>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</si>
  <si>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</si>
  <si>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</si>
  <si>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</si>
  <si>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</si>
  <si>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</si>
  <si>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</si>
  <si>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</si>
  <si>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</si>
  <si>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</si>
  <si>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</si>
  <si>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</si>
  <si>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</si>
  <si>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</si>
  <si>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</si>
  <si>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</si>
  <si>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</si>
  <si>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</si>
  <si>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</si>
  <si>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</si>
  <si>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</si>
  <si>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</si>
  <si>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</si>
  <si>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</si>
  <si>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</si>
  <si>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</si>
  <si>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</si>
  <si>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</si>
  <si>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</si>
  <si>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</si>
  <si>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</si>
  <si>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</si>
  <si>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</si>
  <si>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</si>
  <si>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</si>
  <si>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</si>
  <si>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</si>
  <si>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</si>
  <si>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</si>
  <si>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</si>
  <si>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</si>
  <si>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</si>
  <si>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</si>
  <si>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</si>
  <si>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</si>
  <si>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</si>
  <si>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</si>
  <si>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</si>
  <si>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</si>
  <si>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</si>
  <si>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</si>
  <si>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</si>
  <si>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</si>
  <si>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</si>
  <si>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</si>
  <si>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</si>
  <si>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</si>
  <si>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</si>
  <si>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</si>
  <si>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</si>
  <si>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</si>
  <si>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</si>
  <si>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</si>
  <si>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</si>
  <si>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</si>
  <si>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</si>
  <si>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</si>
  <si>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</si>
  <si>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</si>
  <si>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</si>
  <si>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</si>
  <si>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</si>
  <si>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</si>
  <si>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</si>
  <si>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</si>
  <si>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</si>
  <si>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</si>
  <si>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</si>
  <si>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</si>
  <si>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</si>
  <si>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</si>
  <si>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</si>
  <si>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</si>
  <si>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</si>
  <si>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</si>
  <si>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</si>
  <si>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</si>
  <si>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</si>
  <si>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</si>
  <si>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</si>
  <si>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</si>
  <si>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</si>
  <si>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</si>
  <si>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</si>
  <si>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</si>
  <si>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</si>
  <si>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</si>
  <si>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</si>
  <si>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</si>
  <si>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</si>
  <si>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</si>
  <si>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</si>
  <si>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</si>
  <si>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</si>
  <si>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</si>
  <si>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</si>
  <si>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</si>
  <si>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</si>
  <si>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</si>
  <si>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</si>
  <si>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</si>
  <si>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</si>
  <si>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</si>
  <si>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</si>
  <si>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</si>
  <si>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</si>
  <si>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</si>
  <si>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</si>
  <si>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</si>
  <si>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</si>
  <si>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</si>
  <si>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</si>
  <si>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</si>
  <si>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</si>
  <si>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</si>
  <si>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</si>
  <si>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</si>
  <si>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</si>
  <si>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</si>
  <si>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</si>
  <si>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</si>
  <si>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</si>
  <si>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</si>
  <si>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</si>
  <si>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</si>
  <si>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</si>
  <si>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</si>
  <si>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</si>
  <si>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</si>
  <si>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</si>
  <si>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</si>
  <si>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</si>
  <si>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</si>
  <si>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</si>
  <si>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</si>
  <si>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</si>
  <si>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</si>
  <si>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</si>
  <si>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</si>
  <si>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</si>
  <si>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</si>
  <si>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</si>
  <si>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</si>
  <si>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</si>
  <si>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</si>
  <si>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</si>
  <si>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</si>
  <si>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</si>
  <si>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</si>
  <si>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</si>
  <si>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</si>
  <si>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</si>
  <si>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</si>
  <si>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</si>
  <si>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</si>
  <si>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</si>
  <si>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</si>
  <si>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</si>
  <si>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</si>
  <si>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</si>
  <si>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</si>
  <si>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</si>
  <si>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</si>
  <si>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</si>
  <si>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</si>
  <si>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</si>
  <si>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</si>
  <si>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</si>
  <si>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</si>
  <si>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</si>
  <si>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</si>
  <si>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</si>
  <si>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</si>
  <si>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</si>
  <si>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</si>
  <si>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</si>
  <si>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</si>
  <si>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</si>
  <si>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</si>
  <si>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</si>
  <si>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</si>
  <si>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</si>
  <si>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</si>
  <si>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</si>
  <si>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</si>
  <si>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</si>
  <si>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</si>
  <si>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</si>
  <si>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</si>
  <si>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</si>
  <si>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</si>
  <si>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</si>
  <si>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</si>
  <si>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</si>
  <si>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</si>
  <si>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</si>
  <si>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</si>
  <si>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</si>
  <si>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</si>
  <si>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</si>
  <si>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</si>
  <si>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</si>
  <si>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</si>
  <si>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</si>
  <si>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</si>
  <si>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</si>
  <si>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</si>
  <si>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</si>
  <si>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</si>
  <si>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</si>
  <si>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</si>
  <si>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</si>
  <si>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</si>
  <si>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</si>
  <si>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</si>
  <si>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</si>
  <si>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</si>
  <si>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</si>
  <si>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</si>
  <si>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</si>
  <si>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</si>
  <si>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</si>
  <si>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</si>
  <si>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</si>
  <si>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</si>
  <si>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</si>
  <si>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</si>
  <si>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</si>
  <si>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</si>
  <si>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</si>
  <si>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</si>
  <si>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</si>
  <si>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</si>
  <si>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</si>
  <si>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</si>
  <si>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</si>
  <si>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</si>
  <si>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</si>
  <si>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</si>
  <si>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</si>
  <si>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</si>
  <si>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</si>
  <si>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</si>
  <si>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</si>
  <si>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</si>
  <si>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</si>
  <si>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</si>
  <si>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</si>
  <si>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</si>
  <si>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</si>
  <si>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</si>
  <si>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</si>
  <si>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</si>
  <si>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</si>
  <si>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</si>
  <si>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</si>
  <si>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</si>
  <si>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</si>
  <si>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</si>
  <si>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</si>
  <si>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</si>
  <si>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</si>
  <si>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</si>
  <si>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</si>
  <si>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</si>
  <si>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</si>
  <si>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</si>
  <si>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</si>
  <si>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</si>
  <si>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</si>
  <si>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</si>
  <si>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</si>
  <si>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</si>
  <si>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</si>
  <si>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</si>
  <si>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</si>
  <si>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</si>
  <si>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</si>
  <si>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</si>
  <si>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</si>
  <si>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</si>
  <si>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</si>
  <si>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</si>
  <si>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</si>
  <si>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</si>
  <si>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</si>
  <si>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</si>
  <si>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</si>
  <si>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</si>
  <si>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</si>
  <si>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</si>
  <si>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</si>
  <si>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</si>
  <si>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</si>
  <si>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</si>
  <si>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</si>
  <si>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</si>
  <si>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</si>
  <si>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</si>
  <si>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</si>
  <si>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</si>
  <si>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</si>
  <si>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</si>
  <si>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</si>
  <si>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</si>
  <si>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</si>
  <si>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</si>
  <si>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</si>
  <si>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</si>
  <si>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</si>
  <si>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</si>
  <si>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</si>
  <si>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</si>
  <si>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</si>
  <si>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</si>
  <si>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</si>
  <si>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</si>
  <si>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</si>
  <si>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</si>
  <si>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</si>
  <si>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</si>
  <si>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</si>
  <si>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</si>
  <si>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</si>
  <si>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</si>
  <si>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</si>
  <si>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</si>
  <si>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</si>
  <si>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</si>
  <si>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</si>
  <si>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</si>
  <si>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</si>
  <si>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</si>
  <si>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</si>
  <si>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</si>
  <si>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</si>
  <si>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</si>
  <si>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</si>
  <si>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</si>
  <si>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</si>
  <si>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</si>
  <si>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</si>
  <si>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</si>
  <si>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</si>
  <si>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</si>
  <si>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</si>
  <si>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</si>
  <si>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</si>
  <si>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</si>
  <si>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</si>
  <si>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</si>
  <si>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</si>
  <si>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</si>
  <si>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</si>
  <si>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</si>
  <si>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</si>
  <si>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</si>
  <si>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</si>
  <si>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</si>
  <si>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</si>
  <si>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</si>
  <si>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</si>
  <si>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</si>
  <si>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</si>
  <si>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</si>
  <si>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</si>
  <si>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</si>
  <si>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</si>
  <si>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</si>
  <si>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</si>
  <si>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</si>
  <si>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</si>
  <si>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</si>
  <si>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</si>
  <si>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</si>
  <si>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</si>
  <si>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</si>
  <si>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</si>
  <si>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</si>
  <si>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</si>
  <si>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</si>
  <si>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</si>
  <si>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</si>
  <si>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</si>
  <si>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</si>
  <si>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</si>
  <si>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</si>
  <si>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</si>
  <si>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</si>
  <si>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</si>
  <si>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</si>
  <si>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</si>
  <si>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</si>
  <si>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</si>
  <si>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</si>
  <si>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</si>
  <si>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</si>
  <si>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</si>
  <si>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</si>
  <si>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</si>
  <si>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</si>
  <si>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</si>
  <si>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</si>
  <si>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</si>
  <si>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</si>
  <si>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</si>
  <si>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</si>
  <si>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</si>
  <si>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</si>
  <si>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</si>
  <si>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</si>
  <si>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</si>
  <si>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</si>
  <si>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</si>
  <si>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</si>
  <si>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</si>
  <si>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</si>
  <si>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</si>
  <si>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</si>
  <si>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</si>
  <si>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</si>
  <si>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</si>
  <si>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</si>
  <si>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</si>
  <si>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</si>
  <si>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</si>
  <si>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</si>
  <si>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</si>
  <si>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</si>
  <si>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</si>
  <si>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</si>
  <si>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</si>
  <si>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</si>
  <si>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</si>
  <si>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</si>
  <si>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</si>
  <si>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</si>
  <si>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</si>
  <si>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</si>
  <si>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</si>
  <si>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</si>
  <si>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</si>
  <si>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</si>
  <si>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</si>
  <si>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</si>
  <si>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</si>
  <si>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</si>
  <si>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</si>
  <si>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</si>
  <si>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</si>
  <si>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</si>
  <si>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</si>
  <si>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</si>
  <si>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</si>
  <si>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</si>
  <si>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</si>
  <si>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</si>
  <si>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</si>
  <si>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</si>
  <si>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</si>
  <si>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</si>
  <si>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</si>
  <si>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</si>
  <si>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</si>
  <si>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</si>
  <si>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</si>
  <si>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</si>
  <si>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</si>
  <si>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</si>
  <si>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</si>
  <si>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</si>
  <si>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</si>
  <si>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</si>
  <si>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</si>
  <si>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</si>
  <si>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</si>
  <si>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</si>
  <si>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</si>
  <si>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</si>
  <si>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</si>
  <si>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</si>
  <si>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</si>
  <si>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</si>
  <si>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</si>
  <si>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</si>
  <si>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</si>
  <si>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</si>
  <si>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</si>
  <si>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</si>
  <si>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</si>
  <si>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</si>
  <si>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</si>
  <si>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</si>
  <si>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</si>
  <si>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</si>
  <si>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</si>
  <si>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</si>
  <si>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</si>
  <si>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</si>
  <si>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</si>
  <si>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</si>
  <si>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</si>
  <si>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</si>
  <si>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</si>
  <si>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</si>
  <si>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</si>
  <si>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</si>
  <si>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</si>
  <si>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</si>
  <si>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</si>
  <si>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</si>
  <si>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</si>
  <si>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</si>
  <si>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</si>
  <si>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</si>
  <si>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</si>
  <si>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</si>
  <si>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</si>
  <si>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</si>
  <si>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</si>
  <si>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</si>
  <si>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</si>
  <si>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</si>
  <si>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</si>
  <si>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</si>
  <si>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</si>
  <si>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</si>
  <si>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</si>
  <si>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</si>
  <si>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</si>
  <si>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</si>
  <si>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</si>
  <si>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</si>
  <si>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</si>
  <si>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</si>
  <si>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</si>
  <si>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</si>
  <si>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</si>
  <si>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</si>
  <si>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</si>
  <si>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</si>
  <si>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</si>
  <si>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</si>
  <si>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</si>
  <si>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</si>
  <si>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</si>
  <si>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</si>
  <si>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</si>
  <si>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</si>
  <si>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</si>
  <si>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</si>
  <si>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</si>
  <si>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</si>
  <si>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</si>
  <si>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</si>
  <si>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</si>
  <si>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</si>
  <si>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</si>
  <si>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</si>
  <si>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</si>
  <si>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</si>
  <si>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</si>
  <si>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</si>
  <si>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</si>
  <si>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</si>
  <si>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</si>
  <si>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</si>
  <si>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</si>
  <si>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</si>
  <si>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</si>
  <si>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</si>
  <si>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</si>
  <si>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</si>
  <si>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</si>
  <si>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</si>
  <si>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</si>
  <si>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</si>
  <si>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</si>
  <si>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</si>
  <si>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</si>
  <si>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</si>
  <si>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</si>
  <si>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</si>
  <si>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</si>
  <si>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</si>
  <si>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</si>
  <si>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</si>
  <si>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</si>
  <si>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</si>
  <si>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</si>
  <si>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</si>
  <si>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</si>
  <si>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</si>
  <si>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</si>
  <si>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</si>
  <si>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</si>
  <si>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</si>
  <si>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</si>
  <si>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</si>
  <si>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</si>
  <si>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</si>
  <si>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</si>
  <si>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</si>
  <si>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</si>
  <si>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</si>
  <si>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</si>
  <si>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</si>
  <si>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</si>
  <si>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</si>
  <si>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</si>
  <si>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</si>
  <si>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</si>
  <si>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</si>
  <si>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</si>
  <si>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</si>
  <si>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</si>
  <si>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</si>
  <si>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</si>
  <si>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</si>
  <si>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</si>
  <si>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</si>
  <si>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</si>
  <si>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</si>
  <si>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</si>
  <si>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</si>
  <si>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</si>
  <si>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</si>
  <si>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</si>
  <si>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</si>
  <si>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</si>
  <si>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</si>
  <si>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</si>
  <si>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</si>
  <si>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</si>
  <si>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</si>
  <si>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</si>
  <si>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</si>
  <si>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</si>
  <si>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</si>
  <si>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</si>
  <si>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</si>
  <si>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</si>
  <si>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</si>
  <si>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</si>
  <si>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</si>
  <si>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</si>
  <si>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</si>
  <si>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</si>
  <si>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</si>
  <si>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</si>
  <si>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</si>
  <si>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</si>
  <si>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</si>
  <si>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</si>
  <si>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</si>
  <si>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</si>
  <si>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</si>
  <si>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</si>
  <si>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</si>
  <si>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</si>
  <si>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</si>
  <si>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</si>
  <si>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</si>
  <si>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</si>
  <si>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</si>
  <si>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</si>
  <si>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</si>
  <si>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</si>
  <si>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</si>
  <si>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</si>
  <si>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</si>
  <si>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</si>
  <si>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</si>
  <si>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</si>
  <si>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</si>
  <si>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</si>
  <si>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</si>
  <si>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</si>
  <si>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</si>
  <si>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</si>
  <si>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</si>
  <si>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</si>
  <si>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</si>
  <si>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</si>
  <si>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</si>
  <si>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</si>
  <si>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</si>
  <si>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</si>
  <si>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</si>
  <si>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</si>
  <si>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</si>
  <si>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</si>
  <si>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</si>
  <si>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</si>
  <si>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</si>
  <si>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</si>
  <si>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</si>
  <si>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</si>
  <si>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</si>
  <si>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</si>
  <si>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</si>
  <si>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</si>
  <si>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</si>
  <si>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</si>
  <si>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</si>
  <si>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</si>
  <si>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</si>
  <si>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</si>
  <si>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</si>
  <si>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</si>
  <si>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</si>
  <si>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</si>
  <si>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</si>
  <si>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</si>
  <si>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</si>
  <si>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</si>
  <si>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</si>
  <si>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</si>
  <si>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</si>
  <si>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</si>
  <si>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</si>
  <si>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</si>
  <si>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</si>
  <si>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</si>
  <si>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</si>
  <si>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</si>
  <si>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</si>
  <si>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</si>
  <si>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</si>
  <si>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</si>
  <si>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</si>
  <si>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</si>
  <si>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</si>
  <si>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</si>
  <si>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</si>
  <si>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</si>
  <si>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</si>
  <si>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</si>
  <si>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</si>
  <si>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</si>
  <si>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</si>
  <si>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</si>
  <si>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</si>
  <si>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</si>
  <si>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</si>
  <si>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</si>
  <si>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</si>
  <si>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</si>
  <si>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</si>
  <si>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</si>
  <si>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</si>
  <si>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</si>
  <si>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</si>
  <si>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</si>
  <si>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</si>
  <si>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</si>
  <si>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</si>
  <si>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</si>
  <si>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</si>
  <si>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</si>
  <si>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</si>
  <si>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</si>
  <si>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</si>
  <si>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</si>
  <si>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</si>
  <si>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</si>
  <si>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</si>
  <si>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</si>
  <si>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</si>
  <si>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</si>
  <si>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</si>
  <si>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</si>
  <si>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</si>
  <si>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</si>
  <si>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</si>
  <si>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</si>
  <si>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</si>
  <si>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</si>
  <si>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</si>
  <si>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</si>
  <si>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</si>
  <si>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</si>
  <si>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</si>
  <si>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</si>
  <si>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</si>
  <si>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</si>
  <si>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</si>
  <si>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</si>
  <si>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</si>
  <si>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</si>
  <si>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</si>
  <si>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</si>
  <si>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</si>
  <si>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</si>
  <si>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</si>
  <si>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</si>
  <si>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</si>
  <si>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</si>
  <si>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</si>
  <si>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</si>
  <si>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</si>
  <si>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</si>
  <si>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</si>
  <si>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</si>
  <si>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</si>
  <si>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</si>
  <si>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</si>
  <si>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</si>
  <si>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</si>
  <si>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</si>
  <si>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</si>
  <si>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</si>
  <si>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</si>
  <si>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</si>
  <si>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</si>
  <si>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</si>
  <si>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</si>
  <si>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</si>
  <si>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</si>
  <si>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</si>
  <si>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</si>
  <si>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</si>
  <si>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</si>
  <si>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</si>
  <si>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</si>
  <si>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</si>
  <si>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</si>
  <si>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</si>
  <si>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</si>
  <si>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</si>
  <si>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</si>
  <si>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</si>
  <si>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</si>
  <si>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</si>
  <si>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</si>
  <si>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</si>
  <si>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</si>
  <si>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</si>
  <si>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</si>
  <si>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</si>
  <si>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</si>
  <si>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</si>
  <si>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</si>
  <si>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</si>
  <si>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</si>
  <si>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</si>
  <si>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</si>
  <si>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</si>
  <si>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</si>
  <si>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</si>
  <si>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</si>
  <si>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</si>
  <si>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</si>
  <si>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</si>
  <si>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</si>
  <si>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</si>
  <si>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</si>
  <si>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</si>
  <si>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</si>
  <si>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</si>
  <si>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</si>
  <si>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</si>
  <si>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</si>
  <si>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</si>
  <si>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</si>
  <si>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</si>
  <si>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</si>
  <si>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</si>
  <si>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</si>
  <si>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</si>
  <si>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</si>
  <si>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</si>
  <si>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</si>
  <si>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</si>
  <si>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</si>
  <si>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</si>
  <si>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</si>
  <si>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</si>
  <si>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</si>
  <si>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</si>
  <si>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</si>
  <si>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</si>
  <si>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</si>
  <si>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</si>
  <si>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</si>
  <si>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</si>
  <si>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</si>
  <si>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</si>
  <si>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</si>
  <si>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</si>
  <si>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</si>
  <si>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</si>
  <si>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</si>
  <si>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</si>
  <si>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</si>
  <si>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</si>
  <si>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</si>
  <si>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</si>
  <si>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</si>
  <si>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</si>
  <si>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</si>
  <si>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</si>
  <si>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</si>
  <si>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</si>
  <si>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</si>
  <si>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</si>
  <si>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</si>
  <si>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</si>
  <si>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</si>
  <si>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</si>
  <si>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</si>
  <si>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</si>
  <si>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</si>
  <si>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</si>
  <si>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</si>
  <si>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</si>
  <si>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</si>
  <si>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</si>
  <si>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</si>
  <si>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</si>
  <si>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</si>
  <si>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</si>
  <si>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</si>
  <si>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</si>
  <si>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</si>
  <si>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</si>
  <si>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</si>
  <si>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</si>
  <si>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</si>
  <si>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</si>
  <si>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</si>
  <si>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</si>
  <si>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</si>
  <si>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</si>
  <si>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</si>
  <si>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</si>
  <si>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</si>
  <si>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</si>
  <si>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</si>
  <si>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</si>
  <si>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</si>
  <si>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</si>
  <si>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</si>
  <si>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</si>
  <si>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</si>
  <si>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</si>
  <si>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</si>
  <si>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</si>
  <si>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</si>
  <si>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</si>
  <si>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</si>
  <si>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</si>
  <si>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</si>
  <si>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</si>
  <si>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</si>
  <si>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</si>
  <si>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</si>
  <si>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</si>
  <si>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</si>
  <si>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</si>
  <si>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</si>
  <si>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</si>
  <si>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</si>
  <si>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</si>
  <si>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</si>
  <si>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</si>
  <si>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</si>
  <si>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</si>
  <si>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</si>
  <si>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</si>
  <si>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</si>
  <si>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</si>
  <si>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</si>
  <si>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</si>
  <si>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</si>
  <si>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</si>
  <si>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</si>
  <si>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</si>
  <si>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</si>
  <si>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</si>
  <si>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</si>
  <si>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</si>
  <si>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</si>
  <si>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</si>
  <si>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</si>
  <si>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</si>
  <si>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</si>
  <si>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</si>
  <si>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</si>
  <si>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</si>
  <si>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</si>
  <si>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</si>
  <si>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</si>
  <si>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</si>
  <si>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</si>
  <si>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</si>
  <si>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</si>
  <si>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</si>
  <si>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</si>
  <si>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</si>
  <si>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</si>
  <si>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</si>
  <si>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</si>
  <si>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</si>
  <si>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</si>
  <si>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</si>
  <si>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</si>
  <si>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</si>
  <si>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</si>
  <si>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</si>
  <si>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</si>
  <si>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</si>
  <si>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</si>
  <si>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</si>
  <si>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</si>
  <si>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</si>
  <si>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</si>
  <si>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</si>
  <si>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</si>
  <si>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</si>
  <si>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</si>
  <si>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</si>
  <si>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</si>
  <si>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</si>
  <si>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</si>
  <si>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</si>
  <si>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</si>
  <si>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</si>
  <si>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</si>
  <si>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</si>
  <si>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</si>
  <si>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</si>
  <si>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</si>
  <si>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</si>
  <si>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</si>
  <si>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</si>
  <si>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</si>
  <si>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</si>
  <si>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</si>
  <si>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</si>
  <si>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</si>
  <si>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</si>
  <si>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</si>
  <si>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</si>
  <si>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</si>
  <si>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</si>
  <si>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</si>
  <si>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</si>
  <si>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</si>
  <si>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</si>
  <si>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</si>
  <si>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</si>
  <si>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</si>
  <si>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</si>
  <si>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</si>
  <si>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</si>
  <si>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</si>
  <si>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</si>
  <si>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</si>
  <si>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</si>
  <si>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</si>
  <si>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</si>
  <si>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</si>
  <si>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</si>
  <si>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</si>
  <si>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</si>
  <si>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</si>
  <si>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</si>
  <si>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</si>
  <si>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</si>
  <si>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</si>
  <si>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</si>
  <si>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</si>
  <si>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</si>
  <si>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</si>
  <si>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</si>
  <si>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</si>
  <si>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</si>
  <si>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</si>
  <si>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</si>
  <si>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</si>
  <si>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</si>
  <si>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</si>
  <si>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</si>
  <si>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</si>
  <si>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</si>
  <si>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</si>
  <si>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</si>
  <si>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</si>
  <si>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</si>
  <si>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</si>
  <si>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</si>
  <si>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</si>
  <si>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</si>
  <si>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</si>
  <si>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</si>
  <si>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</si>
  <si>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</si>
  <si>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</si>
  <si>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</si>
  <si>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</si>
  <si>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</si>
  <si>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</si>
  <si>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</si>
  <si>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</si>
  <si>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</si>
  <si>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</si>
  <si>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</si>
  <si>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</si>
  <si>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</si>
  <si>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</si>
  <si>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</si>
  <si>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</si>
  <si>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</si>
  <si>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</si>
  <si>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</si>
  <si>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</si>
  <si>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</si>
  <si>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</si>
  <si>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</si>
  <si>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</si>
  <si>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</si>
  <si>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</si>
  <si>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</si>
  <si>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</si>
  <si>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</si>
  <si>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</si>
  <si>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</si>
  <si>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</si>
  <si>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</si>
  <si>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</si>
  <si>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</si>
  <si>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</si>
  <si>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</si>
  <si>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</si>
  <si>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</si>
  <si>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</si>
  <si>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</si>
  <si>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</si>
  <si>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</si>
  <si>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</si>
  <si>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</si>
  <si>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</si>
  <si>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</si>
  <si>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</si>
  <si>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</si>
  <si>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</si>
  <si>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</si>
  <si>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</si>
  <si>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</si>
  <si>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</si>
  <si>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</si>
  <si>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</si>
  <si>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</si>
  <si>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</si>
  <si>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</si>
  <si>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</si>
  <si>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</si>
  <si>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</si>
  <si>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</si>
  <si>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</si>
  <si>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</si>
  <si>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</si>
  <si>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</si>
  <si>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</si>
  <si>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</si>
  <si>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</si>
  <si>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</si>
  <si>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</si>
  <si>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</si>
  <si>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</si>
  <si>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</si>
  <si>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</si>
  <si>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</si>
  <si>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</si>
  <si>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</si>
  <si>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</si>
  <si>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</si>
  <si>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</si>
  <si>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</si>
  <si>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</si>
  <si>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</si>
  <si>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</si>
  <si>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</si>
  <si>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</si>
  <si>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</si>
  <si>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</si>
  <si>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</si>
  <si>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</si>
  <si>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</si>
  <si>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</si>
  <si>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</si>
  <si>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</si>
  <si>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</si>
  <si>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</si>
  <si>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</si>
  <si>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</si>
  <si>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</si>
  <si>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</si>
  <si>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</si>
  <si>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</si>
  <si>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</si>
  <si>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</si>
  <si>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</si>
  <si>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</si>
  <si>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</si>
  <si>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</si>
  <si>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</si>
  <si>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</si>
  <si>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</si>
  <si>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</si>
  <si>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</si>
  <si>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</si>
  <si>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</si>
  <si>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</si>
  <si>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</si>
  <si>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</si>
  <si>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</si>
  <si>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</si>
  <si>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</si>
  <si>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</si>
  <si>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</si>
  <si>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</si>
  <si>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</si>
  <si>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</si>
  <si>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</si>
  <si>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</si>
  <si>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</si>
  <si>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</si>
  <si>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</si>
  <si>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</si>
  <si>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</si>
  <si>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</si>
  <si>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</si>
  <si>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</si>
  <si>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</si>
  <si>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</si>
  <si>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</si>
  <si>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</si>
  <si>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</si>
  <si>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</si>
  <si>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</si>
  <si>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</si>
  <si>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</si>
  <si>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</si>
  <si>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</si>
  <si>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</si>
  <si>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</si>
  <si>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</si>
  <si>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</si>
  <si>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</si>
  <si>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</si>
  <si>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</si>
  <si>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</si>
  <si>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</si>
  <si>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</si>
  <si>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</si>
  <si>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</si>
  <si>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</si>
  <si>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</si>
  <si>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</si>
  <si>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</si>
  <si>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</si>
  <si>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</si>
  <si>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</si>
  <si>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</si>
  <si>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</si>
  <si>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</si>
  <si>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</si>
  <si>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</si>
  <si>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</si>
  <si>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</si>
  <si>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</si>
  <si>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</si>
  <si>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</si>
  <si>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</si>
  <si>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</si>
  <si>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</si>
  <si>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</si>
  <si>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</si>
  <si>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</si>
  <si>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</si>
  <si>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</si>
  <si>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</si>
  <si>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</si>
  <si>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</si>
  <si>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</si>
  <si>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</si>
  <si>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</si>
  <si>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</si>
  <si>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</si>
  <si>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</si>
  <si>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</si>
  <si>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</si>
  <si>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</si>
  <si>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</si>
  <si>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</si>
  <si>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</si>
  <si>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</si>
  <si>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</si>
  <si>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</si>
  <si>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</si>
  <si>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</si>
  <si>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</si>
  <si>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</si>
  <si>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</si>
  <si>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</si>
  <si>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</si>
  <si>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</si>
  <si>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</si>
  <si>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</si>
  <si>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</si>
  <si>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</si>
  <si>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</si>
  <si>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</si>
  <si>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</si>
  <si>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</si>
  <si>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</si>
  <si>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</si>
  <si>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</si>
  <si>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</si>
  <si>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</si>
  <si>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</si>
  <si>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</si>
  <si>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</si>
  <si>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</si>
  <si>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</si>
  <si>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</si>
  <si>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</si>
  <si>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</si>
  <si>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</si>
  <si>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</si>
  <si>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</si>
  <si>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</si>
  <si>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</si>
  <si>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</si>
  <si>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</si>
  <si>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</si>
  <si>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</si>
  <si>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</si>
  <si>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</si>
  <si>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</si>
  <si>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</si>
  <si>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</si>
  <si>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</si>
  <si>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</si>
  <si>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</si>
  <si>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</si>
  <si>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</si>
  <si>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</si>
  <si>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</si>
  <si>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</si>
  <si>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</si>
  <si>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</si>
  <si>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</si>
  <si>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</si>
  <si>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</si>
  <si>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</si>
  <si>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</si>
  <si>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</si>
  <si>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</si>
  <si>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</si>
  <si>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</si>
  <si>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</si>
  <si>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</si>
  <si>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</si>
  <si>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</si>
  <si>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</si>
  <si>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</si>
  <si>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</si>
  <si>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</si>
  <si>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</si>
  <si>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</si>
  <si>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</si>
  <si>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</si>
  <si>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</si>
  <si>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</si>
  <si>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</si>
  <si>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</si>
  <si>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</si>
  <si>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</si>
  <si>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</si>
  <si>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</si>
  <si>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</si>
  <si>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</si>
  <si>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</si>
  <si>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</si>
  <si>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</si>
  <si>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</si>
  <si>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</si>
  <si>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</si>
  <si>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</si>
  <si>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</si>
  <si>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</si>
  <si>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</si>
  <si>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</si>
  <si>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</si>
  <si>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</si>
  <si>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</si>
  <si>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</si>
  <si>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</si>
  <si>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</si>
  <si>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</si>
  <si>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</si>
  <si>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</si>
  <si>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</si>
  <si>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</si>
  <si>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</si>
  <si>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</si>
  <si>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</si>
  <si>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</si>
  <si>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</si>
  <si>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</si>
  <si>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</si>
  <si>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</si>
  <si>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</si>
  <si>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</si>
  <si>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</si>
  <si>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</si>
  <si>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</si>
  <si>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</si>
  <si>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</si>
  <si>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</si>
  <si>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</si>
  <si>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</si>
  <si>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</si>
  <si>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</si>
  <si>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</si>
  <si>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</si>
  <si>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</si>
  <si>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</si>
  <si>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</si>
  <si>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</si>
  <si>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</si>
  <si>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</si>
  <si>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</si>
  <si>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</si>
  <si>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</si>
  <si>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</si>
  <si>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</si>
  <si>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</si>
  <si>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</si>
  <si>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</si>
  <si>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</si>
  <si>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</si>
  <si>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</si>
  <si>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</si>
  <si>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</si>
  <si>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</si>
  <si>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</si>
  <si>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</si>
  <si>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</si>
  <si>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</si>
  <si>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</si>
  <si>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</si>
  <si>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</si>
  <si>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</si>
  <si>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</si>
  <si>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</si>
  <si>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</si>
  <si>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</si>
  <si>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</si>
  <si>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</si>
  <si>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</si>
  <si>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</si>
  <si>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</si>
  <si>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</si>
  <si>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</si>
  <si>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</si>
  <si>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</si>
  <si>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</si>
  <si>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</si>
  <si>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</si>
  <si>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</si>
  <si>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</si>
  <si>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</si>
  <si>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</si>
  <si>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</si>
  <si>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</si>
  <si>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</si>
  <si>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</si>
  <si>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</si>
  <si>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</si>
  <si>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</si>
  <si>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</si>
  <si>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</si>
  <si>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</si>
  <si>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</si>
  <si>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</si>
  <si>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</si>
  <si>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</si>
  <si>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</si>
  <si>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</si>
  <si>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</si>
  <si>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</si>
  <si>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</si>
  <si>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</si>
  <si>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</si>
  <si>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</si>
  <si>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</si>
  <si>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</si>
  <si>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</si>
  <si>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</si>
  <si>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</si>
  <si>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</si>
  <si>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</si>
  <si>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</si>
  <si>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</si>
  <si>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</si>
  <si>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</si>
  <si>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</si>
  <si>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</si>
  <si>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</si>
  <si>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</si>
  <si>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</si>
  <si>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</si>
  <si>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</si>
  <si>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</si>
  <si>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</si>
  <si>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</si>
  <si>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</si>
  <si>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</si>
  <si>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</si>
  <si>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</si>
  <si>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</si>
  <si>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</si>
  <si>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</si>
  <si>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</si>
  <si>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</si>
  <si>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</si>
  <si>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</si>
  <si>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</si>
  <si>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</si>
  <si>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</si>
  <si>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</si>
  <si>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</si>
  <si>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</si>
  <si>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</si>
  <si>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</si>
  <si>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</si>
  <si>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</si>
  <si>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</si>
  <si>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</si>
  <si>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</si>
  <si>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</si>
  <si>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</si>
  <si>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</si>
  <si>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</si>
  <si>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</si>
  <si>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</si>
  <si>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</si>
  <si>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</si>
  <si>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</si>
  <si>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</si>
  <si>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</si>
  <si>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</si>
  <si>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</si>
  <si>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</si>
  <si>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</si>
  <si>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</si>
  <si>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</si>
  <si>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</si>
  <si>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</si>
  <si>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</si>
  <si>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</si>
  <si>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</si>
  <si>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</si>
  <si>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</si>
  <si>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</si>
  <si>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</si>
  <si>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</si>
  <si>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</si>
  <si>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</si>
  <si>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</si>
  <si>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</si>
  <si>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</si>
  <si>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</si>
  <si>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</si>
  <si>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</si>
  <si>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</si>
  <si>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</si>
  <si>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</si>
  <si>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</si>
  <si>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</si>
  <si>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</si>
  <si>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</si>
  <si>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</si>
  <si>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</si>
  <si>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</si>
  <si>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</si>
  <si>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</si>
  <si>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</si>
  <si>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</si>
  <si>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</si>
  <si>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</si>
  <si>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</si>
  <si>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</si>
  <si>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</si>
  <si>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</si>
  <si>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</si>
  <si>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</si>
  <si>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</si>
  <si>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</si>
  <si>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</si>
  <si>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</si>
  <si>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</si>
  <si>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</si>
  <si>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</si>
  <si>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</si>
  <si>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</si>
  <si>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</si>
  <si>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</si>
  <si>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</si>
  <si>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</si>
  <si>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</si>
  <si>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</si>
  <si>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</si>
  <si>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</si>
  <si>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</si>
  <si>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</si>
  <si>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</si>
  <si>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</si>
  <si>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</si>
  <si>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</si>
  <si>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</si>
  <si>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</si>
  <si>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</si>
  <si>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</si>
  <si>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</si>
  <si>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</si>
  <si>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</si>
  <si>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</si>
  <si>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</si>
  <si>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</si>
  <si>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</si>
  <si>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</si>
  <si>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</si>
  <si>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</si>
  <si>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</si>
  <si>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</si>
  <si>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</si>
  <si>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</si>
  <si>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</si>
  <si>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</si>
  <si>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</si>
  <si>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</si>
  <si>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</si>
  <si>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</si>
  <si>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</si>
  <si>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</si>
  <si>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</si>
  <si>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</si>
  <si>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</si>
  <si>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</si>
  <si>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</si>
  <si>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</si>
  <si>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</si>
  <si>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</si>
  <si>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</si>
  <si>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</si>
  <si>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</si>
  <si>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</si>
  <si>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</si>
  <si>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</si>
  <si>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</si>
  <si>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</si>
  <si>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</si>
  <si>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</si>
  <si>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</si>
  <si>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</si>
  <si>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</si>
  <si>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</si>
  <si>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</si>
  <si>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</si>
  <si>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</si>
  <si>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</si>
  <si>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</si>
  <si>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</si>
  <si>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</si>
  <si>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</si>
  <si>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</si>
  <si>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</si>
  <si>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</si>
  <si>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</si>
  <si>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</si>
  <si>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</si>
  <si>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</si>
  <si>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</si>
  <si>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</si>
  <si>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</si>
  <si>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</si>
  <si>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</si>
  <si>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</si>
  <si>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</si>
  <si>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</si>
  <si>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</si>
  <si>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</si>
  <si>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</si>
  <si>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</si>
  <si>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</si>
  <si>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</si>
  <si>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</si>
  <si>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</si>
  <si>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</si>
  <si>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</si>
  <si>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</si>
  <si>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</si>
  <si>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</si>
  <si>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</si>
  <si>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</si>
  <si>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</si>
  <si>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</si>
  <si>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</si>
  <si>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</si>
  <si>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</si>
  <si>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</si>
  <si>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</si>
  <si>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</si>
  <si>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</si>
  <si>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</si>
  <si>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</si>
  <si>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</si>
  <si>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</si>
  <si>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</si>
  <si>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</si>
  <si>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</si>
  <si>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</si>
  <si>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</si>
  <si>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</si>
  <si>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</si>
  <si>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</si>
  <si>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</si>
  <si>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</si>
  <si>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</si>
  <si>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</si>
  <si>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</si>
  <si>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</si>
  <si>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</si>
  <si>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</si>
  <si>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</si>
  <si>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</si>
  <si>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</si>
  <si>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</si>
  <si>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</si>
  <si>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</si>
  <si>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</si>
  <si>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</si>
  <si>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</si>
  <si>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</si>
  <si>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</si>
  <si>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</si>
  <si>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</si>
  <si>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</si>
  <si>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</si>
  <si>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</si>
  <si>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</si>
  <si>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</si>
  <si>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</si>
  <si>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</si>
  <si>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</si>
  <si>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</si>
  <si>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</si>
  <si>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</si>
  <si>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</si>
  <si>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</si>
  <si>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</si>
  <si>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</si>
  <si>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</si>
  <si>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</si>
  <si>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</si>
  <si>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</si>
  <si>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</si>
  <si>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</si>
  <si>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</si>
  <si>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</si>
  <si>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</si>
  <si>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</si>
  <si>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</si>
  <si>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</si>
  <si>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</si>
  <si>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</si>
  <si>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</si>
  <si>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</si>
  <si>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</si>
  <si>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</si>
  <si>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</si>
  <si>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</si>
  <si>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</si>
  <si>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</si>
  <si>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</si>
  <si>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</si>
  <si>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</si>
  <si>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</si>
  <si>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</si>
  <si>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</si>
  <si>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</si>
  <si>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</si>
  <si>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</si>
  <si>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</si>
  <si>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</si>
  <si>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</si>
  <si>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</si>
  <si>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</si>
  <si>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</si>
  <si>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</si>
  <si>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</si>
  <si>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</si>
  <si>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</si>
  <si>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</si>
  <si>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</si>
  <si>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</si>
  <si>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</si>
  <si>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</si>
  <si>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</si>
  <si>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</si>
  <si>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</si>
  <si>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</si>
  <si>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</si>
  <si>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</si>
  <si>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</si>
  <si>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</si>
  <si>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</si>
  <si>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</si>
  <si>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</si>
  <si>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</si>
  <si>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</si>
  <si>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</si>
  <si>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</si>
  <si>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</si>
  <si>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</si>
  <si>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</si>
  <si>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</si>
  <si>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</si>
  <si>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</si>
  <si>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</si>
  <si>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</si>
  <si>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</si>
  <si>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</si>
  <si>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</si>
  <si>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</si>
  <si>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</si>
  <si>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</si>
  <si>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</si>
  <si>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</si>
  <si>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</si>
  <si>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</si>
  <si>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</si>
  <si>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</si>
  <si>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</si>
  <si>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</si>
  <si>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</si>
  <si>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</si>
  <si>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</si>
  <si>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</si>
  <si>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</si>
  <si>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</si>
  <si>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</si>
  <si>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</si>
  <si>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</si>
  <si>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</si>
  <si>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</si>
  <si>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</si>
  <si>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</si>
  <si>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</si>
  <si>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</si>
  <si>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</si>
  <si>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</si>
  <si>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</si>
  <si>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</si>
  <si>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</si>
  <si>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</si>
  <si>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</si>
  <si>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</si>
  <si>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</si>
  <si>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</si>
  <si>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</si>
  <si>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</si>
  <si>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</si>
  <si>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</si>
  <si>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</si>
  <si>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</si>
  <si>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</si>
  <si>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</si>
  <si>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</si>
  <si>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</si>
  <si>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</si>
  <si>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</si>
  <si>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</si>
  <si>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</si>
  <si>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</si>
  <si>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</si>
  <si>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</si>
  <si>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</si>
  <si>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</si>
  <si>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</si>
  <si>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</si>
  <si>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</si>
  <si>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</si>
  <si>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</si>
  <si>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</si>
  <si>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</si>
  <si>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</si>
  <si>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</si>
  <si>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</si>
  <si>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</si>
  <si>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</si>
  <si>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</si>
  <si>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</si>
  <si>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</si>
  <si>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</si>
  <si>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</si>
  <si>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</si>
  <si>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</si>
  <si>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</si>
  <si>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</si>
  <si>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</si>
  <si>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</si>
  <si>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</si>
  <si>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</si>
  <si>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</si>
  <si>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</si>
  <si>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</si>
  <si>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</si>
  <si>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</si>
  <si>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</si>
  <si>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</si>
  <si>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</si>
  <si>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</si>
  <si>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</si>
  <si>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</si>
  <si>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</si>
  <si>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</si>
  <si>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</si>
  <si>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</si>
  <si>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</si>
  <si>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</si>
  <si>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</si>
  <si>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</si>
  <si>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</si>
  <si>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</si>
  <si>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</si>
  <si>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</si>
  <si>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</si>
  <si>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</si>
  <si>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</si>
  <si>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</si>
  <si>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</si>
  <si>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</si>
  <si>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</si>
  <si>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</si>
  <si>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</si>
  <si>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</si>
  <si>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</si>
  <si>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</si>
  <si>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</si>
  <si>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</si>
  <si>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</si>
  <si>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</si>
  <si>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</si>
  <si>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</si>
  <si>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</si>
  <si>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</si>
  <si>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</si>
  <si>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</si>
  <si>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</si>
  <si>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</si>
  <si>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</si>
  <si>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</si>
  <si>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</si>
  <si>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</si>
  <si>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</si>
  <si>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</si>
  <si>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</si>
  <si>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</si>
  <si>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</si>
  <si>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</si>
  <si>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</si>
  <si>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</si>
  <si>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</si>
  <si>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</si>
  <si>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</si>
  <si>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</si>
  <si>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</si>
  <si>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</si>
  <si>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</si>
  <si>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</si>
  <si>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</si>
  <si>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</si>
  <si>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</si>
  <si>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</si>
  <si>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</si>
  <si>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</si>
  <si>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</si>
  <si>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</si>
  <si>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</si>
  <si>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</si>
  <si>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</si>
  <si>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</si>
  <si>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</si>
  <si>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</si>
  <si>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</si>
  <si>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</si>
  <si>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</si>
  <si>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</si>
  <si>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</si>
  <si>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</si>
  <si>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</si>
  <si>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</si>
  <si>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</si>
  <si>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</si>
  <si>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</si>
  <si>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</si>
  <si>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</si>
  <si>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</si>
  <si>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</si>
  <si>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</si>
  <si>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</si>
  <si>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</si>
  <si>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</si>
  <si>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</si>
  <si>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</si>
  <si>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</si>
  <si>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</si>
  <si>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</si>
  <si>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</si>
  <si>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</si>
  <si>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</si>
  <si>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</si>
  <si>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</si>
  <si>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</si>
  <si>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</si>
  <si>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</si>
  <si>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</si>
  <si>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</si>
  <si>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</si>
  <si>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</si>
  <si>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</si>
  <si>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</si>
  <si>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</si>
  <si>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</si>
  <si>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</si>
  <si>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</si>
  <si>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</si>
  <si>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</si>
  <si>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</si>
  <si>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</si>
  <si>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</si>
  <si>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</si>
  <si>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</si>
  <si>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</si>
  <si>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</si>
  <si>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</si>
  <si>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</si>
  <si>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</si>
  <si>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</si>
  <si>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</si>
  <si>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</si>
  <si>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</si>
  <si>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</si>
  <si>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</si>
  <si>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</si>
  <si>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</si>
  <si>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</si>
  <si>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</si>
  <si>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</si>
  <si>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</si>
  <si>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</si>
  <si>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</si>
  <si>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</si>
  <si>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</si>
  <si>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</si>
  <si>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</si>
  <si>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</si>
  <si>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</si>
  <si>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</si>
  <si>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</si>
  <si>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</si>
  <si>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</si>
  <si>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</si>
  <si>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</si>
  <si>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</si>
  <si>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</si>
  <si>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</si>
  <si>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</si>
  <si>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</si>
  <si>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</si>
  <si>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</si>
  <si>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</si>
  <si>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</si>
  <si>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</si>
  <si>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</si>
  <si>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</si>
  <si>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</si>
  <si>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</si>
  <si>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</si>
  <si>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</si>
  <si>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</si>
  <si>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</si>
  <si>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</si>
  <si>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</si>
  <si>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</si>
  <si>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</si>
  <si>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</si>
  <si>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</si>
  <si>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</si>
  <si>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</si>
  <si>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</si>
  <si>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</si>
  <si>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</si>
  <si>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</si>
  <si>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</si>
  <si>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</si>
  <si>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</si>
  <si>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</si>
  <si>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</si>
  <si>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</si>
  <si>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</si>
  <si>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</si>
  <si>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</si>
  <si>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</si>
  <si>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</si>
  <si>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</si>
  <si>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</si>
  <si>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</si>
  <si>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</si>
  <si>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</si>
  <si>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</si>
  <si>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</si>
  <si>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</si>
  <si>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</si>
  <si>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</si>
  <si>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</si>
  <si>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</si>
  <si>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</si>
  <si>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</si>
  <si>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</si>
  <si>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</si>
  <si>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</si>
  <si>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</si>
  <si>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</si>
  <si>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</si>
  <si>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</si>
  <si>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</si>
  <si>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</si>
  <si>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</si>
  <si>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</si>
  <si>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</si>
  <si>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</si>
  <si>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</si>
  <si>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</si>
  <si>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</si>
  <si>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</si>
  <si>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</si>
  <si>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</si>
  <si>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</si>
  <si>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</si>
  <si>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</si>
  <si>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</si>
  <si>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</si>
  <si>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</si>
  <si>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</si>
  <si>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</si>
  <si>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</si>
  <si>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</si>
  <si>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</si>
  <si>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</si>
  <si>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</si>
  <si>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</si>
  <si>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</si>
  <si>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</si>
  <si>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</si>
  <si>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</si>
  <si>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</si>
  <si>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</si>
  <si>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</si>
  <si>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</si>
  <si>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</si>
  <si>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</si>
  <si>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</si>
  <si>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</si>
  <si>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</si>
  <si>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</si>
  <si>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</si>
  <si>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</si>
  <si>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</si>
  <si>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</si>
  <si>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</si>
  <si>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</si>
  <si>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</si>
  <si>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</si>
  <si>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</si>
  <si>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</si>
  <si>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</si>
  <si>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</si>
  <si>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</si>
  <si>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</si>
  <si>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</si>
  <si>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</si>
  <si>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</si>
  <si>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</si>
  <si>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</si>
  <si>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</si>
  <si>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</si>
  <si>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</si>
  <si>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</si>
  <si>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</si>
  <si>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</si>
  <si>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</si>
  <si>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</si>
  <si>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</si>
  <si>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</si>
  <si>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</si>
  <si>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</si>
  <si>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</si>
  <si>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</si>
  <si>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</si>
  <si>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</si>
  <si>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</si>
  <si>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</si>
  <si>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</si>
  <si>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</si>
  <si>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</si>
  <si>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</si>
  <si>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</si>
  <si>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</si>
  <si>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</si>
  <si>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</si>
  <si>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</si>
  <si>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</si>
  <si>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</si>
  <si>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</si>
  <si>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</si>
  <si>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</si>
  <si>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</si>
  <si>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</si>
  <si>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</si>
  <si>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</si>
  <si>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</si>
  <si>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</si>
  <si>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</si>
  <si>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</si>
  <si>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</si>
  <si>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</si>
  <si>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</si>
  <si>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</si>
  <si>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</si>
  <si>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</si>
  <si>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</si>
  <si>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</si>
  <si>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</si>
  <si>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</si>
  <si>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</si>
  <si>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</si>
  <si>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</si>
  <si>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</si>
  <si>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</si>
  <si>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</si>
  <si>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</si>
  <si>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</si>
  <si>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</si>
  <si>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</si>
  <si>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</si>
  <si>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</si>
  <si>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</si>
  <si>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</si>
  <si>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</si>
  <si>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</si>
  <si>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</si>
  <si>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</si>
  <si>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</si>
  <si>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</si>
  <si>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</si>
  <si>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</si>
  <si>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</si>
  <si>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</si>
  <si>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</si>
  <si>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</si>
  <si>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</si>
  <si>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</si>
  <si>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</si>
  <si>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</si>
  <si>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</si>
  <si>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</si>
  <si>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</si>
  <si>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</si>
  <si>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</si>
  <si>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</si>
  <si>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</si>
  <si>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</si>
  <si>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</si>
  <si>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</si>
  <si>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</si>
  <si>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</si>
  <si>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</si>
  <si>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</si>
  <si>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</si>
  <si>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</si>
  <si>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</si>
  <si>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</si>
  <si>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</si>
  <si>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</si>
  <si>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</si>
  <si>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</si>
  <si>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</si>
  <si>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</si>
  <si>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</si>
  <si>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</si>
  <si>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</si>
  <si>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</si>
  <si>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</si>
  <si>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</si>
  <si>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</si>
  <si>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</si>
  <si>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</si>
  <si>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</si>
  <si>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</si>
  <si>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</si>
  <si>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</si>
  <si>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</si>
  <si>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</si>
  <si>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</si>
  <si>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</si>
  <si>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</si>
  <si>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</si>
  <si>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</si>
  <si>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</si>
  <si>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</si>
  <si>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</si>
  <si>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</si>
  <si>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</si>
  <si>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</si>
  <si>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</si>
  <si>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</si>
  <si>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</si>
  <si>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</si>
  <si>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</si>
  <si>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</si>
  <si>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</si>
  <si>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</si>
  <si>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</si>
  <si>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</si>
  <si>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</si>
  <si>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</si>
  <si>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</si>
  <si>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</si>
  <si>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</si>
  <si>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</si>
  <si>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</si>
  <si>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</si>
  <si>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</si>
  <si>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</si>
  <si>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</si>
  <si>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</si>
  <si>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</si>
  <si>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</si>
  <si>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</si>
  <si>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</si>
  <si>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</si>
  <si>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</si>
  <si>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</si>
  <si>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</si>
  <si>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</si>
  <si>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</si>
  <si>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</si>
  <si>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</si>
  <si>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</si>
  <si>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</si>
  <si>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</si>
  <si>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</si>
  <si>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</si>
  <si>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</si>
  <si>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</si>
  <si>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</si>
  <si>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</si>
  <si>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</si>
  <si>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</si>
  <si>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</si>
  <si>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</si>
  <si>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</si>
  <si>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</si>
  <si>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</si>
  <si>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</si>
  <si>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</si>
  <si>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</si>
  <si>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</si>
  <si>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</si>
  <si>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</si>
  <si>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</si>
  <si>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</si>
  <si>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</si>
  <si>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</si>
  <si>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</si>
  <si>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</si>
  <si>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</si>
  <si>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</si>
  <si>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</si>
  <si>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</si>
  <si>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</si>
  <si>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</si>
  <si>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</si>
  <si>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</si>
  <si>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</si>
  <si>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</si>
  <si>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</si>
  <si>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</si>
  <si>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</si>
  <si>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</si>
  <si>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</si>
  <si>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</si>
  <si>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</si>
  <si>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</si>
  <si>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</si>
  <si>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</si>
  <si>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</si>
  <si>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</si>
  <si>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</si>
  <si>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</si>
  <si>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</si>
  <si>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</si>
  <si>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</si>
  <si>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</si>
  <si>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</si>
  <si>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</si>
  <si>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</si>
  <si>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</si>
  <si>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</si>
  <si>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</si>
  <si>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</si>
  <si>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</si>
  <si>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</si>
  <si>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</si>
  <si>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</si>
  <si>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</si>
  <si>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</si>
  <si>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</si>
  <si>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</si>
  <si>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</si>
  <si>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</si>
  <si>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</si>
  <si>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</si>
  <si>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</si>
  <si>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</si>
  <si>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</si>
  <si>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</si>
  <si>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</si>
  <si>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</si>
  <si>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</si>
  <si>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</si>
  <si>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</si>
  <si>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</si>
  <si>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</si>
  <si>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</si>
  <si>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</si>
  <si>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</si>
  <si>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</si>
  <si>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</si>
  <si>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</si>
  <si>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</si>
  <si>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</si>
  <si>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</si>
  <si>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</si>
  <si>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</si>
  <si>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</si>
  <si>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</si>
  <si>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</si>
  <si>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</si>
  <si>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</si>
  <si>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</si>
  <si>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</si>
  <si>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</si>
  <si>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</si>
  <si>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</si>
  <si>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</si>
  <si>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</si>
  <si>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</si>
  <si>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</si>
  <si>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</si>
  <si>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</si>
  <si>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</si>
  <si>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</si>
  <si>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</si>
  <si>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</si>
  <si>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</si>
  <si>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</si>
  <si>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</si>
  <si>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</si>
  <si>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</si>
  <si>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</si>
  <si>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</si>
  <si>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</si>
  <si>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</si>
  <si>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</si>
  <si>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</si>
  <si>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</si>
  <si>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</si>
  <si>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</si>
  <si>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</si>
  <si>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</si>
  <si>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</si>
  <si>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</si>
  <si>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</si>
  <si>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</si>
  <si>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</si>
  <si>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</si>
  <si>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</si>
  <si>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</si>
  <si>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</si>
  <si>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</si>
  <si>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</si>
  <si>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</si>
  <si>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</si>
  <si>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</si>
  <si>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</si>
  <si>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</si>
  <si>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</si>
  <si>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</si>
  <si>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</si>
  <si>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</si>
  <si>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</si>
  <si>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</si>
  <si>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</si>
  <si>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</si>
  <si>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</si>
  <si>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</si>
  <si>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</si>
  <si>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</si>
  <si>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</si>
  <si>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</si>
  <si>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</si>
  <si>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</si>
  <si>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</si>
  <si>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</si>
  <si>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</si>
  <si>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</si>
  <si>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</si>
  <si>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</si>
  <si>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</si>
  <si>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</si>
  <si>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</si>
  <si>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</si>
  <si>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</si>
  <si>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</si>
  <si>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</si>
  <si>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</si>
  <si>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</si>
  <si>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</si>
  <si>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</si>
  <si>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</si>
  <si>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</si>
  <si>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</si>
  <si>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</si>
  <si>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</si>
  <si>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</si>
  <si>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</si>
  <si>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</si>
  <si>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</si>
  <si>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</si>
  <si>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</si>
  <si>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</si>
  <si>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</si>
  <si>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</si>
  <si>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</si>
  <si>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</si>
  <si>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</si>
  <si>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</si>
  <si>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</si>
  <si>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</si>
  <si>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</si>
  <si>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</si>
  <si>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</si>
  <si>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</si>
  <si>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</si>
  <si>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</si>
  <si>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</si>
  <si>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</si>
  <si>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</si>
  <si>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</si>
  <si>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</si>
  <si>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</si>
  <si>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</si>
  <si>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</si>
  <si>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</si>
  <si>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</si>
  <si>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</si>
  <si>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</si>
  <si>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</si>
  <si>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</si>
  <si>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</si>
  <si>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</si>
  <si>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</si>
  <si>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</si>
  <si>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</si>
  <si>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</si>
  <si>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</si>
  <si>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</si>
  <si>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</si>
  <si>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</si>
  <si>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</si>
  <si>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</si>
  <si>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</si>
  <si>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</si>
  <si>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</si>
  <si>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</si>
  <si>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</si>
  <si>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</si>
  <si>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</si>
  <si>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</si>
  <si>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</si>
  <si>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</si>
  <si>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</si>
  <si>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</si>
  <si>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</si>
  <si>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</si>
  <si>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</si>
  <si>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</si>
  <si>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</si>
  <si>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</si>
  <si>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</si>
  <si>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</si>
  <si>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</si>
  <si>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</si>
  <si>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</si>
  <si>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</si>
  <si>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</si>
  <si>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</si>
  <si>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</si>
  <si>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</si>
  <si>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</si>
  <si>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</si>
  <si>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</si>
  <si>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</si>
  <si>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</si>
  <si>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</si>
  <si>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</si>
  <si>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</si>
  <si>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</si>
  <si>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</si>
  <si>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</si>
  <si>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</si>
  <si>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</si>
  <si>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</si>
  <si>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</si>
  <si>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</si>
  <si>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</si>
  <si>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</si>
  <si>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</si>
  <si>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</si>
  <si>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</si>
  <si>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</si>
  <si>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</si>
  <si>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</si>
  <si>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</si>
  <si>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</si>
  <si>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</si>
  <si>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</si>
  <si>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</si>
  <si>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</si>
  <si>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</si>
  <si>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</si>
  <si>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</si>
  <si>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</si>
  <si>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</si>
  <si>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</si>
  <si>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</si>
  <si>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</si>
  <si>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</si>
  <si>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</si>
  <si>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</si>
  <si>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</si>
  <si>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</si>
  <si>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</si>
  <si>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</si>
  <si>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</si>
  <si>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</si>
  <si>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</si>
  <si>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</si>
  <si>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</si>
  <si>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</si>
  <si>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</si>
  <si>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</si>
  <si>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</si>
  <si>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</si>
  <si>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</si>
  <si>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</si>
  <si>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</si>
  <si>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</si>
  <si>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</si>
  <si>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</si>
  <si>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</si>
  <si>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</si>
  <si>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</si>
  <si>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</si>
  <si>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</si>
  <si>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</si>
  <si>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</si>
  <si>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</si>
  <si>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</si>
  <si>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</si>
  <si>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</si>
  <si>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</si>
  <si>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</si>
  <si>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</si>
  <si>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</si>
  <si>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</si>
  <si>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</si>
  <si>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</si>
  <si>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</si>
  <si>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</si>
  <si>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</si>
  <si>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</si>
  <si>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</si>
  <si>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</si>
  <si>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</si>
  <si>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</si>
  <si>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</si>
  <si>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</si>
  <si>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</si>
  <si>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</si>
  <si>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</si>
  <si>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</si>
  <si>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</si>
  <si>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</si>
  <si>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</si>
  <si>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</si>
  <si>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</si>
  <si>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</si>
  <si>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</si>
  <si>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</si>
  <si>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</si>
  <si>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</si>
  <si>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</si>
  <si>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</si>
  <si>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</si>
  <si>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</si>
  <si>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</si>
  <si>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</si>
  <si>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</si>
  <si>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</si>
  <si>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</si>
  <si>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</si>
  <si>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</si>
  <si>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</si>
  <si>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</si>
  <si>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</si>
  <si>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</si>
  <si>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</si>
  <si>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</si>
  <si>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</si>
  <si>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</si>
  <si>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</si>
  <si>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</si>
  <si>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</si>
  <si>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</si>
  <si>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</si>
  <si>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</si>
  <si>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</si>
  <si>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</si>
  <si>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</si>
  <si>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</si>
  <si>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</si>
  <si>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</si>
  <si>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</si>
  <si>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</si>
  <si>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</si>
  <si>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</si>
  <si>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</si>
  <si>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</si>
  <si>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</si>
  <si>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</si>
  <si>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</si>
  <si>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</si>
  <si>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</si>
  <si>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</si>
  <si>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</si>
  <si>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</si>
  <si>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</si>
  <si>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</si>
  <si>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</si>
  <si>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</si>
  <si>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</si>
  <si>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</si>
  <si>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</si>
  <si>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</si>
  <si>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</si>
  <si>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</si>
  <si>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</si>
  <si>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</si>
  <si>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</si>
  <si>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</si>
  <si>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</si>
  <si>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</si>
  <si>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</si>
  <si>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</si>
  <si>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</si>
  <si>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</si>
  <si>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</si>
  <si>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</si>
  <si>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</si>
  <si>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</si>
  <si>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</si>
  <si>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</si>
  <si>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</si>
  <si>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</si>
  <si>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</si>
  <si>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</si>
  <si>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</si>
  <si>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</si>
  <si>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</si>
  <si>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</si>
  <si>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</si>
  <si>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</si>
  <si>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</si>
  <si>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</si>
  <si>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</si>
  <si>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</si>
  <si>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</si>
  <si>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</si>
  <si>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</si>
  <si>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</si>
  <si>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</si>
  <si>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</si>
  <si>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</si>
  <si>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</si>
  <si>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</si>
  <si>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</si>
  <si>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</si>
  <si>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</si>
  <si>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</si>
  <si>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</si>
  <si>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</si>
  <si>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</si>
  <si>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</si>
  <si>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</si>
  <si>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</si>
  <si>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</si>
  <si>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</si>
  <si>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</si>
  <si>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</si>
  <si>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</si>
  <si>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</si>
  <si>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</si>
  <si>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</si>
  <si>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</si>
  <si>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</si>
  <si>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</si>
  <si>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</si>
  <si>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</si>
  <si>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</si>
  <si>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</si>
  <si>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</si>
  <si>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</si>
  <si>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</si>
  <si>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</si>
  <si>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</si>
  <si>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</si>
  <si>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</si>
  <si>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</si>
  <si>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</si>
  <si>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</si>
  <si>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</si>
  <si>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</si>
  <si>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</si>
  <si>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</si>
  <si>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</si>
  <si>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</si>
  <si>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</si>
  <si>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</si>
  <si>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</si>
  <si>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</si>
  <si>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</si>
  <si>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</si>
  <si>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</si>
  <si>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</si>
  <si>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</si>
  <si>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</si>
  <si>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</si>
  <si>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</si>
  <si>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</si>
  <si>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</si>
  <si>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</si>
  <si>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</si>
  <si>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</si>
  <si>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</si>
  <si>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</si>
  <si>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</si>
  <si>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</si>
  <si>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</si>
  <si>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</si>
  <si>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</si>
  <si>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</si>
  <si>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</si>
  <si>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</si>
  <si>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</si>
  <si>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</si>
  <si>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</si>
  <si>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</si>
  <si>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</si>
  <si>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</si>
  <si>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</si>
  <si>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</si>
  <si>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</si>
  <si>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</si>
  <si>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</si>
  <si>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</si>
  <si>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</si>
  <si>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</si>
  <si>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</si>
  <si>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</si>
  <si>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</si>
  <si>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</si>
  <si>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</si>
  <si>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</si>
  <si>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</si>
  <si>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</si>
  <si>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</si>
  <si>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</si>
  <si>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</si>
  <si>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</si>
  <si>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</si>
  <si>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</si>
  <si>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</si>
  <si>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</si>
  <si>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</si>
  <si>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</si>
  <si>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</si>
  <si>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</si>
  <si>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</si>
  <si>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</si>
  <si>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</si>
  <si>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</si>
  <si>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</si>
  <si>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</si>
  <si>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</si>
  <si>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</si>
  <si>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</si>
  <si>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</si>
  <si>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</si>
  <si>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</si>
  <si>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</si>
  <si>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</si>
  <si>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</si>
  <si>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</si>
  <si>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</si>
  <si>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</si>
  <si>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</si>
  <si>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</si>
  <si>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</si>
  <si>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</si>
  <si>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</si>
  <si>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</si>
  <si>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</si>
  <si>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</si>
  <si>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</si>
  <si>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</si>
  <si>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</si>
  <si>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</si>
  <si>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</si>
  <si>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</si>
  <si>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</si>
  <si>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</si>
  <si>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</si>
  <si>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</si>
  <si>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</si>
  <si>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</si>
  <si>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</si>
  <si>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</si>
  <si>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</si>
  <si>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</si>
  <si>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</si>
  <si>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</si>
  <si>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</si>
  <si>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</si>
  <si>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</si>
  <si>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</si>
  <si>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</si>
  <si>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</si>
  <si>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</si>
  <si>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</si>
  <si>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</si>
  <si>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</si>
  <si>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</si>
  <si>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</si>
  <si>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</si>
  <si>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</si>
  <si>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</si>
  <si>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</si>
  <si>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</si>
  <si>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</si>
  <si>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</si>
  <si>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</si>
  <si>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</si>
  <si>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</si>
  <si>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</si>
  <si>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</si>
  <si>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</si>
  <si>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</si>
  <si>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</si>
  <si>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</si>
  <si>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</si>
  <si>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</si>
  <si>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</si>
  <si>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</si>
  <si>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</si>
  <si>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</si>
  <si>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</si>
  <si>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</si>
  <si>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</si>
  <si>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</si>
  <si>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</si>
  <si>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</si>
  <si>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</si>
  <si>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</si>
  <si>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</si>
  <si>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</si>
  <si>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</si>
  <si>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</si>
  <si>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</si>
  <si>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</si>
  <si>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</si>
  <si>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</si>
  <si>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</si>
  <si>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</si>
  <si>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</si>
  <si>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</si>
  <si>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</si>
  <si>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</si>
  <si>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</si>
  <si>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</si>
  <si>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</si>
  <si>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</si>
  <si>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</si>
  <si>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</si>
  <si>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</si>
  <si>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</si>
  <si>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</si>
  <si>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</si>
  <si>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</si>
  <si>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</si>
  <si>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</si>
  <si>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</si>
  <si>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</si>
  <si>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</si>
  <si>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</si>
  <si>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</si>
  <si>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</si>
  <si>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</si>
  <si>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</si>
  <si>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</si>
  <si>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</si>
  <si>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</si>
  <si>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</si>
  <si>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</si>
  <si>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</si>
  <si>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</si>
  <si>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</si>
  <si>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</si>
  <si>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</si>
  <si>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</si>
  <si>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</si>
  <si>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</si>
  <si>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</si>
  <si>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</si>
  <si>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</si>
  <si>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</si>
  <si>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</si>
  <si>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</si>
  <si>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</si>
  <si>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</si>
  <si>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</si>
  <si>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</si>
  <si>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</si>
  <si>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</si>
  <si>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</si>
  <si>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</si>
  <si>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</si>
  <si>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</si>
  <si>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</si>
  <si>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</si>
  <si>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</si>
  <si>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</si>
  <si>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</si>
  <si>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</si>
  <si>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</si>
  <si>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</si>
  <si>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</si>
  <si>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</si>
  <si>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</si>
  <si>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</si>
  <si>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</si>
  <si>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</si>
  <si>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</si>
  <si>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</si>
  <si>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</si>
  <si>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</si>
  <si>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</si>
  <si>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</si>
  <si>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</si>
  <si>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</si>
  <si>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</si>
  <si>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</si>
  <si>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</si>
  <si>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</si>
  <si>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</si>
  <si>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</si>
  <si>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</si>
  <si>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</si>
  <si>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</si>
  <si>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</si>
  <si>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</si>
  <si>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</si>
  <si>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</si>
  <si>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</si>
  <si>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</si>
  <si>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</si>
  <si>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</si>
  <si>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</si>
  <si>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</si>
  <si>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</si>
  <si>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</si>
  <si>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</si>
  <si>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</si>
  <si>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</si>
  <si>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</si>
  <si>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</si>
  <si>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</si>
  <si>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</si>
  <si>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</si>
  <si>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</si>
  <si>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</si>
  <si>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</si>
  <si>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</si>
  <si>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</si>
  <si>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</si>
  <si>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</si>
  <si>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</si>
  <si>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</si>
  <si>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</si>
  <si>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</si>
  <si>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</si>
  <si>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</si>
  <si>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</si>
  <si>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</si>
  <si>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</si>
  <si>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</si>
  <si>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</si>
  <si>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</si>
  <si>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</si>
  <si>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</si>
  <si>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</si>
  <si>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</si>
  <si>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</si>
  <si>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</si>
  <si>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</si>
  <si>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</si>
  <si>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</si>
  <si>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</si>
  <si>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</si>
  <si>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</si>
  <si>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</si>
  <si>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</si>
  <si>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</si>
  <si>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</si>
  <si>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</si>
  <si>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</si>
  <si>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</si>
  <si>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</si>
  <si>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</si>
  <si>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</si>
  <si>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</si>
  <si>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</si>
  <si>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</si>
  <si>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</si>
  <si>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</si>
  <si>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</si>
  <si>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</si>
  <si>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</si>
  <si>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</si>
  <si>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</si>
  <si>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</si>
  <si>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</si>
  <si>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</si>
  <si>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</si>
  <si>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</si>
  <si>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</si>
  <si>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</si>
  <si>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</si>
  <si>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</si>
  <si>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</si>
  <si>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</si>
  <si>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</si>
  <si>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</si>
  <si>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</si>
  <si>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</si>
  <si>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</si>
  <si>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</si>
  <si>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</si>
  <si>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</si>
  <si>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</si>
  <si>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</si>
  <si>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</si>
  <si>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</si>
  <si>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</si>
  <si>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</si>
  <si>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</si>
  <si>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</si>
  <si>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</si>
  <si>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</si>
  <si>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</si>
  <si>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</si>
  <si>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</si>
  <si>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</si>
  <si>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</si>
  <si>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</si>
  <si>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</si>
  <si>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</si>
  <si>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</si>
  <si>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</si>
  <si>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</si>
  <si>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</si>
  <si>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</si>
  <si>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</si>
  <si>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</si>
  <si>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</si>
  <si>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</si>
  <si>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</si>
  <si>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</si>
  <si>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</si>
  <si>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</si>
  <si>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</si>
  <si>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</si>
  <si>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</si>
  <si>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</si>
  <si>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</si>
  <si>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</si>
  <si>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</si>
  <si>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</si>
  <si>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</si>
  <si>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</si>
  <si>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</si>
  <si>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</si>
  <si>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</si>
  <si>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</si>
  <si>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</si>
  <si>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</si>
  <si>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</si>
  <si>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</si>
  <si>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</si>
  <si>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</si>
  <si>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</si>
  <si>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</si>
  <si>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</si>
  <si>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</si>
  <si>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</si>
  <si>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</si>
  <si>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</si>
  <si>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</si>
  <si>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</si>
  <si>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</si>
  <si>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</si>
  <si>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</si>
  <si>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</si>
  <si>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</si>
  <si>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</si>
  <si>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</si>
  <si>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</si>
  <si>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</si>
  <si>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</si>
  <si>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</si>
  <si>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</si>
  <si>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</si>
  <si>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</si>
  <si>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</si>
  <si>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</si>
  <si>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</si>
  <si>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</si>
  <si>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</si>
  <si>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</si>
  <si>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</si>
  <si>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</si>
  <si>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</si>
  <si>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</si>
  <si>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</si>
  <si>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</si>
  <si>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</si>
  <si>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</si>
  <si>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</si>
  <si>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</si>
  <si>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</si>
  <si>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</si>
  <si>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</si>
  <si>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</si>
  <si>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</si>
  <si>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</si>
  <si>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</si>
  <si>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</si>
  <si>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</si>
  <si>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</si>
  <si>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</si>
  <si>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</si>
  <si>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</si>
  <si>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</si>
  <si>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</si>
  <si>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</si>
  <si>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</si>
  <si>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</si>
  <si>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</si>
  <si>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</si>
  <si>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</si>
  <si>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</si>
  <si>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</si>
  <si>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</si>
  <si>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</si>
  <si>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</si>
  <si>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</si>
  <si>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</si>
  <si>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</si>
  <si>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</si>
  <si>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</si>
  <si>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</si>
  <si>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</si>
  <si>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</si>
  <si>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</si>
  <si>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</si>
  <si>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</si>
  <si>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</si>
  <si>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</si>
  <si>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</si>
  <si>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</si>
  <si>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</si>
  <si>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</si>
  <si>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</si>
  <si>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</si>
  <si>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</si>
  <si>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</si>
  <si>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</si>
  <si>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</si>
  <si>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</si>
  <si>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</si>
  <si>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</si>
  <si>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</si>
  <si>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</si>
  <si>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</si>
  <si>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</si>
  <si>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</si>
  <si>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</si>
  <si>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</si>
  <si>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</si>
  <si>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</si>
  <si>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</si>
  <si>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</si>
  <si>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</si>
  <si>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</si>
  <si>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</si>
  <si>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</si>
  <si>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</si>
  <si>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</si>
  <si>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</si>
  <si>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</si>
  <si>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</si>
  <si>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</si>
  <si>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</si>
  <si>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</si>
  <si>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</si>
  <si>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</si>
  <si>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</si>
  <si>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</si>
  <si>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</si>
  <si>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</si>
  <si>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</si>
  <si>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</si>
  <si>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</si>
  <si>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</si>
  <si>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</si>
  <si>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</si>
  <si>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</si>
  <si>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</si>
  <si>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</si>
  <si>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</si>
  <si>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</si>
  <si>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</si>
  <si>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</si>
  <si>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</si>
  <si>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</si>
  <si>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</si>
  <si>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</si>
  <si>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</si>
  <si>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</si>
  <si>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</si>
  <si>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</si>
  <si>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</si>
  <si>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</si>
  <si>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</si>
  <si>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</si>
  <si>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</si>
  <si>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</si>
  <si>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</si>
  <si>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</si>
  <si>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</si>
  <si>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</si>
  <si>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</si>
  <si>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</si>
  <si>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</si>
  <si>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</si>
  <si>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</si>
  <si>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</si>
  <si>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</si>
  <si>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</si>
  <si>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</si>
  <si>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</si>
  <si>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</si>
  <si>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</si>
  <si>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</si>
  <si>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</si>
  <si>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</si>
  <si>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</si>
  <si>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</si>
  <si>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</si>
  <si>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</si>
  <si>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</si>
  <si>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</si>
  <si>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</si>
  <si>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</si>
  <si>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</si>
  <si>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</si>
  <si>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</si>
  <si>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</si>
  <si>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</si>
  <si>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</si>
  <si>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</si>
  <si>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</si>
  <si>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</si>
  <si>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</si>
  <si>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</si>
  <si>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</si>
  <si>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</si>
  <si>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</si>
  <si>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</si>
  <si>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</si>
  <si>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</si>
  <si>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</si>
  <si>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</si>
  <si>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</si>
  <si>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</si>
  <si>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</si>
  <si>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</si>
  <si>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</si>
  <si>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</si>
  <si>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</si>
  <si>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</si>
  <si>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</si>
  <si>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</si>
  <si>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</si>
  <si>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</si>
  <si>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</si>
  <si>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</si>
  <si>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</si>
  <si>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</si>
  <si>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</si>
  <si>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</si>
  <si>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</si>
  <si>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</si>
  <si>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</si>
  <si>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</si>
  <si>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</si>
  <si>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</si>
  <si>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</si>
  <si>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</si>
  <si>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</si>
  <si>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</si>
  <si>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</si>
  <si>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</si>
  <si>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</si>
  <si>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</si>
  <si>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</si>
  <si>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</si>
  <si>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</si>
  <si>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</si>
  <si>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</si>
  <si>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</si>
  <si>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</si>
  <si>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</si>
  <si>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</si>
  <si>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</si>
  <si>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</si>
  <si>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</si>
  <si>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</si>
  <si>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</si>
  <si>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</si>
  <si>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</si>
  <si>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</si>
  <si>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</si>
  <si>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</si>
  <si>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</si>
  <si>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</si>
  <si>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</si>
  <si>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</si>
  <si>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</si>
  <si>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</si>
  <si>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</si>
  <si>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</si>
  <si>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</si>
  <si>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</si>
  <si>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</si>
  <si>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</si>
  <si>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</si>
  <si>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</si>
  <si>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</si>
  <si>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</si>
  <si>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</si>
  <si>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</si>
  <si>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</si>
  <si>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</si>
  <si>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</si>
  <si>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</si>
  <si>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</si>
  <si>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</si>
  <si>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</si>
  <si>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</si>
  <si>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</si>
  <si>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</si>
  <si>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</si>
  <si>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</si>
  <si>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</si>
  <si>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</si>
  <si>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</si>
  <si>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</si>
  <si>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</si>
  <si>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</si>
  <si>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</si>
  <si>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</si>
  <si>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</si>
  <si>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</si>
  <si>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</si>
  <si>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</si>
  <si>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</si>
  <si>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</si>
  <si>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</si>
  <si>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</si>
  <si>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</si>
  <si>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</si>
  <si>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</si>
  <si>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</si>
  <si>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LHSP1 Rel 1</t>
  </si>
  <si>
    <t>Sambucus sp.</t>
  </si>
  <si>
    <t>Ribes sp.</t>
  </si>
  <si>
    <t>Exotica Lonicera spp.</t>
  </si>
  <si>
    <t>D6c, D5b, D3r, D1-2r, C1-2p</t>
  </si>
  <si>
    <t>H1-3p</t>
  </si>
  <si>
    <t>Cf. Lactuca biennis</t>
  </si>
  <si>
    <t>Athyrium Filix-femina</t>
  </si>
  <si>
    <t>Viola sp.</t>
  </si>
  <si>
    <t>G1-2b</t>
  </si>
  <si>
    <t>Carex sp. #1</t>
  </si>
  <si>
    <t>Carex sp. #2 - broader leaves</t>
  </si>
  <si>
    <t>LHSP12021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</si>
</sst>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7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33" xfId="1" applyFont="1" applyBorder="1"/>
    <xf numFmtId="0" fontId="4" fillId="0" borderId="25" xfId="0" applyFont="1" applyBorder="1"/>
    <xf numFmtId="0" fontId="4" fillId="0" borderId="26" xfId="1" applyFont="1" applyBorder="1"/>
    <xf numFmtId="0" fontId="4" fillId="0" borderId="34" xfId="1" applyFont="1" applyBorder="1"/>
    <xf numFmtId="0" fontId="4" fillId="0" borderId="0" xfId="1" applyFont="1"/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35" xfId="1" applyFont="1" applyBorder="1"/>
    <xf numFmtId="0" fontId="8" fillId="0" borderId="3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5" sqref="B5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3" t="s">
        <v>57</v>
      </c>
      <c r="B2" s="133"/>
      <c r="C2" s="133"/>
      <c r="D2" s="133"/>
      <c r="E2" s="133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5" t="s">
        <v>5401</v>
      </c>
      <c r="B22" s="135"/>
      <c r="C22" s="135"/>
      <c r="D22" s="135"/>
      <c r="E22" s="135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4" t="s">
        <v>5402</v>
      </c>
      <c r="B24" s="134"/>
      <c r="C24" s="134"/>
      <c r="D24" s="134"/>
      <c r="E24" s="134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4" t="s">
        <v>61</v>
      </c>
      <c r="B39" s="134"/>
      <c r="C39" s="134"/>
      <c r="D39" s="134"/>
      <c r="E39" s="134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4" t="s">
        <v>62</v>
      </c>
      <c r="B45" s="134"/>
      <c r="C45" s="134"/>
      <c r="D45" s="134"/>
      <c r="E45" s="134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9" t="s">
        <v>43</v>
      </c>
      <c r="B93" s="130"/>
      <c r="C93" s="132"/>
      <c r="D93" s="136" t="s">
        <v>44</v>
      </c>
      <c r="E93" s="131"/>
    </row>
    <row r="94" spans="1:5" x14ac:dyDescent="0.2">
      <c r="A94" s="73" t="s">
        <v>23</v>
      </c>
      <c r="B94" s="127" t="s">
        <v>30</v>
      </c>
      <c r="C94" s="128"/>
      <c r="D94" s="3" t="s">
        <v>46</v>
      </c>
      <c r="E94" s="9">
        <v>8</v>
      </c>
    </row>
    <row r="95" spans="1:5" x14ac:dyDescent="0.2">
      <c r="A95" s="73" t="s">
        <v>24</v>
      </c>
      <c r="B95" s="123" t="s">
        <v>31</v>
      </c>
      <c r="C95" s="124"/>
      <c r="D95" s="3" t="s">
        <v>47</v>
      </c>
      <c r="E95" s="9">
        <v>7</v>
      </c>
    </row>
    <row r="96" spans="1:5" x14ac:dyDescent="0.2">
      <c r="A96" s="73" t="s">
        <v>3</v>
      </c>
      <c r="B96" s="123" t="s">
        <v>32</v>
      </c>
      <c r="C96" s="124"/>
      <c r="D96" s="3" t="s">
        <v>48</v>
      </c>
      <c r="E96" s="9">
        <v>6</v>
      </c>
    </row>
    <row r="97" spans="1:5" x14ac:dyDescent="0.2">
      <c r="A97" s="73" t="s">
        <v>25</v>
      </c>
      <c r="B97" s="123" t="s">
        <v>33</v>
      </c>
      <c r="C97" s="124"/>
      <c r="D97" s="3" t="s">
        <v>49</v>
      </c>
      <c r="E97" s="9">
        <v>5</v>
      </c>
    </row>
    <row r="98" spans="1:5" x14ac:dyDescent="0.2">
      <c r="A98" s="73" t="s">
        <v>26</v>
      </c>
      <c r="B98" s="123" t="s">
        <v>34</v>
      </c>
      <c r="C98" s="124"/>
      <c r="D98" s="3" t="s">
        <v>50</v>
      </c>
      <c r="E98" s="9">
        <v>4</v>
      </c>
    </row>
    <row r="99" spans="1:5" x14ac:dyDescent="0.2">
      <c r="A99" s="73" t="s">
        <v>27</v>
      </c>
      <c r="B99" s="123" t="s">
        <v>35</v>
      </c>
      <c r="C99" s="124"/>
      <c r="D99" s="3" t="s">
        <v>4</v>
      </c>
      <c r="E99" s="9">
        <v>3</v>
      </c>
    </row>
    <row r="100" spans="1:5" x14ac:dyDescent="0.2">
      <c r="A100" s="73" t="s">
        <v>2</v>
      </c>
      <c r="B100" s="123" t="s">
        <v>36</v>
      </c>
      <c r="C100" s="124"/>
      <c r="D100" s="3" t="s">
        <v>5</v>
      </c>
      <c r="E100" s="9">
        <v>2</v>
      </c>
    </row>
    <row r="101" spans="1:5" x14ac:dyDescent="0.2">
      <c r="A101" s="73" t="s">
        <v>28</v>
      </c>
      <c r="B101" s="123" t="s">
        <v>37</v>
      </c>
      <c r="C101" s="124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5" t="s">
        <v>38</v>
      </c>
      <c r="C102" s="126"/>
      <c r="D102" s="5"/>
      <c r="E102" s="8"/>
    </row>
    <row r="103" spans="1:5" ht="13.2" thickBot="1" x14ac:dyDescent="0.25">
      <c r="A103" s="129" t="s">
        <v>68</v>
      </c>
      <c r="B103" s="130"/>
      <c r="C103" s="132"/>
      <c r="D103" s="136" t="s">
        <v>45</v>
      </c>
      <c r="E103" s="131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9" t="s">
        <v>21</v>
      </c>
      <c r="B112" s="130"/>
      <c r="C112" s="131"/>
    </row>
    <row r="113" spans="1:3" x14ac:dyDescent="0.2">
      <c r="A113" s="73">
        <v>1</v>
      </c>
      <c r="B113" s="127" t="s">
        <v>40</v>
      </c>
      <c r="C113" s="128"/>
    </row>
    <row r="114" spans="1:3" x14ac:dyDescent="0.2">
      <c r="A114" s="73" t="s">
        <v>39</v>
      </c>
      <c r="B114" s="123" t="s">
        <v>41</v>
      </c>
      <c r="C114" s="124"/>
    </row>
    <row r="115" spans="1:3" x14ac:dyDescent="0.2">
      <c r="A115" s="74" t="s">
        <v>15</v>
      </c>
      <c r="B115" s="121" t="s">
        <v>42</v>
      </c>
      <c r="C115" s="122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3" t="s">
        <v>127</v>
      </c>
      <c r="B1" s="133"/>
      <c r="C1" s="133"/>
      <c r="D1" s="133"/>
      <c r="E1" s="133"/>
      <c r="F1" s="133"/>
      <c r="G1" s="133"/>
      <c r="H1" s="14"/>
    </row>
    <row r="2" spans="1:14" x14ac:dyDescent="0.2">
      <c r="A2" s="139" t="s">
        <v>138</v>
      </c>
      <c r="B2" s="139"/>
      <c r="C2" s="15"/>
      <c r="D2" s="15"/>
      <c r="E2" s="15"/>
      <c r="F2" s="15"/>
      <c r="G2" s="15"/>
      <c r="H2" s="15"/>
    </row>
    <row r="3" spans="1:14" x14ac:dyDescent="0.2">
      <c r="A3" s="140" t="s">
        <v>52</v>
      </c>
      <c r="B3" s="140"/>
      <c r="C3" s="15"/>
      <c r="D3" s="15"/>
      <c r="E3" s="15"/>
      <c r="F3" s="15"/>
      <c r="G3" s="15"/>
      <c r="H3" s="15"/>
    </row>
    <row r="4" spans="1:14" x14ac:dyDescent="0.2">
      <c r="A4" s="140" t="s">
        <v>55</v>
      </c>
      <c r="B4" s="140"/>
      <c r="C4" s="15"/>
      <c r="D4" s="15"/>
      <c r="E4" s="15"/>
      <c r="F4" s="15"/>
      <c r="G4" s="15"/>
      <c r="H4" s="15"/>
    </row>
    <row r="5" spans="1:14" x14ac:dyDescent="0.2">
      <c r="A5" s="140" t="s">
        <v>51</v>
      </c>
      <c r="B5" s="140"/>
      <c r="C5" s="15"/>
      <c r="D5" s="15"/>
      <c r="E5" s="15"/>
      <c r="F5" s="15"/>
      <c r="G5" s="15"/>
      <c r="H5" s="15"/>
    </row>
    <row r="6" spans="1:14" x14ac:dyDescent="0.2">
      <c r="A6" s="137" t="s">
        <v>128</v>
      </c>
      <c r="B6" s="137"/>
    </row>
    <row r="7" spans="1:14" x14ac:dyDescent="0.2">
      <c r="A7" s="137" t="s">
        <v>129</v>
      </c>
      <c r="B7" s="137"/>
      <c r="C7" s="138"/>
      <c r="D7" s="138"/>
      <c r="E7" s="138"/>
      <c r="F7" s="138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158" zoomScale="70" zoomScaleNormal="70" workbookViewId="0">
      <selection activeCell="A2418" sqref="A2418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 t="s">
        <v>5451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656</v>
      </c>
      <c r="B12" s="44" t="str">
        <f>IF(LEN(VLOOKUP(A12,'Species List'!$A:$G,2,FALSE))=0,"",VLOOKUP(A12,'Species List'!$A:$G,2,FALSE))</f>
        <v>paper birch</v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[FACU+]</v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9.8360655737704916E-2</v>
      </c>
      <c r="O12" s="88">
        <f>D12*N12</f>
        <v>0.29508196721311475</v>
      </c>
    </row>
    <row r="13" spans="1:15" x14ac:dyDescent="0.2">
      <c r="A13" s="108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3">
        <f t="shared" ref="D13:D76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95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9.8360655737704916E-2</v>
      </c>
      <c r="O13" s="102">
        <f t="shared" ref="O13:O76" si="3">D13*N13</f>
        <v>0.39344262295081966</v>
      </c>
    </row>
    <row r="14" spans="1:15" x14ac:dyDescent="0.2">
      <c r="A14" s="109" t="s">
        <v>3691</v>
      </c>
      <c r="B14" s="44" t="str">
        <f>IF(LEN(VLOOKUP(A14,'Species List'!$A:$G,2,FALSE))=0,"",VLOOKUP(A14,'Species List'!$A:$G,2,FALSE))</f>
        <v>northern pin oak</v>
      </c>
      <c r="C14" s="44">
        <f>IF(LEN(VLOOKUP(A14,'Species List'!$A:$G,3,FALSE))=0,"",VLOOKUP(A14,'Species List'!$A:$G,3,FALSE))</f>
        <v>5</v>
      </c>
      <c r="D14" s="103">
        <f t="shared" si="1"/>
        <v>5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95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9.8360655737704916E-2</v>
      </c>
      <c r="O14" s="102">
        <f t="shared" si="3"/>
        <v>0.49180327868852458</v>
      </c>
    </row>
    <row r="15" spans="1:15" x14ac:dyDescent="0.2">
      <c r="A15" s="110" t="s">
        <v>4598</v>
      </c>
      <c r="B15" s="44" t="str">
        <f>IF(LEN(VLOOKUP(A15,'Species List'!$A:$G,2,FALSE))=0,"",VLOOKUP(A15,'Species List'!$A:$G,2,FALSE))</f>
        <v>American elm</v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FACW-</v>
      </c>
      <c r="H15" s="44">
        <f>VLOOKUP(A15,'Species List'!$A:$G,7,FALSE)</f>
        <v>0</v>
      </c>
      <c r="J15" s="95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1.9672131147540985E-2</v>
      </c>
      <c r="O15" s="102">
        <f t="shared" si="3"/>
        <v>5.9016393442622953E-2</v>
      </c>
    </row>
    <row r="16" spans="1:15" x14ac:dyDescent="0.2">
      <c r="A16" s="108" t="s">
        <v>3685</v>
      </c>
      <c r="B16" s="44" t="str">
        <f>IF(LEN(VLOOKUP(A16,'Species List'!$A:$G,2,FALSE))=0,"",VLOOKUP(A16,'Species List'!$A:$G,2,FALSE))</f>
        <v>white oak</v>
      </c>
      <c r="C16" s="44">
        <f>IF(LEN(VLOOKUP(A16,'Species List'!$A:$G,3,FALSE))=0,"",VLOOKUP(A16,'Species List'!$A:$G,3,FALSE))</f>
        <v>7</v>
      </c>
      <c r="D16" s="103">
        <f t="shared" si="1"/>
        <v>7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95">
        <v>3</v>
      </c>
      <c r="K16" s="47" t="str">
        <f>VLOOKUP(J16,'Species List'!$H$1:$J$9,2,FALSE)</f>
        <v>&gt;25-50%</v>
      </c>
      <c r="L16" s="47">
        <f>VLOOKUP(K16,'Species List'!$I$1:$N$8,2,FALSE)</f>
        <v>37.5</v>
      </c>
      <c r="M16" s="104">
        <f t="shared" si="2"/>
        <v>37.5</v>
      </c>
      <c r="N16" s="88">
        <f t="shared" si="0"/>
        <v>0.24590163934426229</v>
      </c>
      <c r="O16" s="102">
        <f t="shared" si="3"/>
        <v>1.721311475409836</v>
      </c>
    </row>
    <row r="17" spans="1:15" x14ac:dyDescent="0.2">
      <c r="A17" s="108" t="s">
        <v>3757</v>
      </c>
      <c r="B17" s="44" t="str">
        <f>IF(LEN(VLOOKUP(A17,'Species List'!$A:$G,2,FALSE))=0,"",VLOOKUP(A17,'Species List'!$A:$G,2,FALSE))</f>
        <v>common buckthorn</v>
      </c>
      <c r="C17" s="44">
        <f>IF(LEN(VLOOKUP(A17,'Species List'!$A:$G,3,FALSE))=0,"",VLOOKUP(A17,'Species List'!$A:$G,3,FALSE))</f>
        <v>0</v>
      </c>
      <c r="D17" s="103">
        <f t="shared" si="1"/>
        <v>0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95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1.9672131147540985E-2</v>
      </c>
      <c r="O17" s="102">
        <f t="shared" si="3"/>
        <v>0</v>
      </c>
    </row>
    <row r="18" spans="1:15" x14ac:dyDescent="0.2">
      <c r="A18" s="110" t="s">
        <v>3858</v>
      </c>
      <c r="B18" s="44" t="str">
        <f>IF(LEN(VLOOKUP(A18,'Species List'!$A:$G,2,FALSE))=0,"",VLOOKUP(A18,'Species List'!$A:$G,2,FALSE))</f>
        <v>black raspberry</v>
      </c>
      <c r="C18" s="44">
        <f>IF(LEN(VLOOKUP(A18,'Species List'!$A:$G,3,FALSE))=0,"",VLOOKUP(A18,'Species List'!$A:$G,3,FALSE))</f>
        <v>2</v>
      </c>
      <c r="D18" s="103">
        <f t="shared" si="1"/>
        <v>2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1.9672131147540985E-2</v>
      </c>
      <c r="O18" s="102">
        <f t="shared" si="3"/>
        <v>3.9344262295081971E-2</v>
      </c>
    </row>
    <row r="19" spans="1:15" x14ac:dyDescent="0.2">
      <c r="A19" s="108" t="s">
        <v>3658</v>
      </c>
      <c r="B19" s="44" t="str">
        <f>IF(LEN(VLOOKUP(A19,'Species List'!$A:$G,2,FALSE))=0,"",VLOOKUP(A19,'Species List'!$A:$G,2,FALSE))</f>
        <v>chokecherry</v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[FAC-]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1.9672131147540985E-2</v>
      </c>
      <c r="O19" s="102">
        <f t="shared" si="3"/>
        <v>5.9016393442622953E-2</v>
      </c>
    </row>
    <row r="20" spans="1:15" x14ac:dyDescent="0.2">
      <c r="A20" s="108" t="s">
        <v>3538</v>
      </c>
      <c r="B20" s="44" t="str">
        <f>IF(LEN(VLOOKUP(A20,'Species List'!$A:$G,2,FALSE))=0,"",VLOOKUP(A20,'Species List'!$A:$G,2,FALSE))</f>
        <v>quaking aspen</v>
      </c>
      <c r="C20" s="44">
        <f>IF(LEN(VLOOKUP(A20,'Species List'!$A:$G,3,FALSE))=0,"",VLOOKUP(A20,'Species List'!$A:$G,3,FALSE))</f>
        <v>2</v>
      </c>
      <c r="D20" s="103">
        <f t="shared" si="1"/>
        <v>2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[FAC]</v>
      </c>
      <c r="H20" s="44">
        <f>VLOOKUP(A20,'Species List'!$A:$G,7,FALSE)</f>
        <v>0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1.9672131147540985E-2</v>
      </c>
      <c r="O20" s="102">
        <f t="shared" si="3"/>
        <v>3.9344262295081971E-2</v>
      </c>
    </row>
    <row r="21" spans="1:15" x14ac:dyDescent="0.2">
      <c r="A21" s="108" t="s">
        <v>5440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1"/>
        <v>3</v>
      </c>
      <c r="E21" s="44" t="e">
        <f>IF(LEN(VLOOKUP(A21,'Species List'!$A:$G,4,FALSE))=0,"",VLOOKUP(A21,'Species List'!$A:$G,4,FALSE))</f>
        <v>#N/A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1.9672131147540985E-2</v>
      </c>
      <c r="O21" s="102">
        <f t="shared" si="3"/>
        <v>5.9016393442622953E-2</v>
      </c>
    </row>
    <row r="22" spans="1:15" x14ac:dyDescent="0.2">
      <c r="A22" s="108" t="s">
        <v>5441</v>
      </c>
      <c r="B22" s="44" t="e">
        <f>IF(LEN(VLOOKUP(A22,'Species List'!$A:$G,2,FALSE))=0,"",VLOOKUP(A22,'Species List'!$A:$G,2,FALSE))</f>
        <v>#N/A</v>
      </c>
      <c r="C22" s="44">
        <v>3</v>
      </c>
      <c r="D22" s="103">
        <f t="shared" si="1"/>
        <v>3</v>
      </c>
      <c r="E22" s="44" t="e">
        <f>IF(LEN(VLOOKUP(A22,'Species List'!$A:$G,4,FALSE))=0,"",VLOOKUP(A22,'Species List'!$A:$G,4,FALSE))</f>
        <v>#N/A</v>
      </c>
      <c r="F22" s="44" t="s">
        <v>147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1.9672131147540985E-2</v>
      </c>
      <c r="O22" s="102">
        <f t="shared" si="3"/>
        <v>5.9016393442622953E-2</v>
      </c>
    </row>
    <row r="23" spans="1:15" x14ac:dyDescent="0.2">
      <c r="A23" s="110" t="s">
        <v>4704</v>
      </c>
      <c r="B23" s="44" t="str">
        <f>IF(LEN(VLOOKUP(A23,'Species List'!$A:$G,2,FALSE))=0,"",VLOOKUP(A23,'Species List'!$A:$G,2,FALSE))</f>
        <v/>
      </c>
      <c r="C23" s="44">
        <v>0</v>
      </c>
      <c r="D23" s="103">
        <f t="shared" si="1"/>
        <v>0</v>
      </c>
      <c r="E23" s="44" t="str">
        <f>IF(LEN(VLOOKUP(A23,'Species List'!$A:$G,4,FALSE))=0,"",VLOOKUP(A23,'Species List'!$A:$G,4,FALSE))</f>
        <v>D</v>
      </c>
      <c r="F23" s="44" t="s">
        <v>152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95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2"/>
        <v>0.5</v>
      </c>
      <c r="N23" s="88">
        <f t="shared" si="0"/>
        <v>3.2786885245901639E-3</v>
      </c>
      <c r="O23" s="102">
        <f t="shared" si="3"/>
        <v>0</v>
      </c>
    </row>
    <row r="24" spans="1:15" x14ac:dyDescent="0.2">
      <c r="A24" s="108" t="s">
        <v>3851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95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1.9672131147540985E-2</v>
      </c>
      <c r="O24" s="102">
        <f t="shared" si="3"/>
        <v>5.9016393442622953E-2</v>
      </c>
    </row>
    <row r="25" spans="1:15" x14ac:dyDescent="0.2">
      <c r="A25" s="108" t="s">
        <v>2752</v>
      </c>
      <c r="B25" s="44" t="str">
        <f>IF(LEN(VLOOKUP(A25,'Species List'!$A:$G,2,FALSE))=0,"",VLOOKUP(A25,'Species List'!$A:$G,2,FALSE))</f>
        <v>wild honeysuckle</v>
      </c>
      <c r="C25" s="44">
        <f>IF(LEN(VLOOKUP(A25,'Species List'!$A:$G,3,FALSE))=0,"",VLOOKUP(A25,'Species List'!$A:$G,3,FALSE))</f>
        <v>5</v>
      </c>
      <c r="D25" s="103">
        <f t="shared" si="1"/>
        <v>5</v>
      </c>
      <c r="E25" s="44" t="str">
        <f>IF(LEN(VLOOKUP(A25,'Species List'!$A:$G,4,FALSE))=0,"",VLOOKUP(A25,'Species List'!$A:$G,4,FALSE))</f>
        <v>C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95" t="s">
        <v>5420</v>
      </c>
      <c r="K25" s="47" t="str">
        <f>VLOOKUP(J25,'Species List'!$H$1:$J$9,2,FALSE)</f>
        <v>&gt;0-1%</v>
      </c>
      <c r="L25" s="47">
        <f>VLOOKUP(K25,'Species List'!$I$1:$N$8,2,FALSE)</f>
        <v>0.5</v>
      </c>
      <c r="M25" s="104">
        <f t="shared" si="2"/>
        <v>0.5</v>
      </c>
      <c r="N25" s="88">
        <f t="shared" si="0"/>
        <v>3.2786885245901639E-3</v>
      </c>
      <c r="O25" s="102">
        <f t="shared" si="3"/>
        <v>1.6393442622950821E-2</v>
      </c>
    </row>
    <row r="26" spans="1:15" x14ac:dyDescent="0.2">
      <c r="A26" s="108" t="s">
        <v>5442</v>
      </c>
      <c r="B26" s="44" t="e">
        <f>IF(LEN(VLOOKUP(A26,'Species List'!$A:$G,2,FALSE))=0,"",VLOOKUP(A26,'Species List'!$A:$G,2,FALSE))</f>
        <v>#N/A</v>
      </c>
      <c r="C26" s="44">
        <v>0</v>
      </c>
      <c r="D26" s="103">
        <f t="shared" si="1"/>
        <v>0</v>
      </c>
      <c r="E26" s="44" t="e">
        <f>IF(LEN(VLOOKUP(A26,'Species List'!$A:$G,4,FALSE))=0,"",VLOOKUP(A26,'Species List'!$A:$G,4,FALSE))</f>
        <v>#N/A</v>
      </c>
      <c r="F26" s="44" t="s">
        <v>152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1.9672131147540985E-2</v>
      </c>
      <c r="O26" s="102">
        <f t="shared" si="3"/>
        <v>0</v>
      </c>
    </row>
    <row r="27" spans="1:15" ht="13.2" x14ac:dyDescent="0.25">
      <c r="A27" s="36" t="s">
        <v>3838</v>
      </c>
      <c r="B27" s="44" t="str">
        <f>IF(LEN(VLOOKUP(A27,'Species List'!$A:$G,2,FALSE))=0,"",VLOOKUP(A27,'Species List'!$A:$G,2,FALSE))</f>
        <v>Allegheny blackberry</v>
      </c>
      <c r="C27" s="44">
        <v>2</v>
      </c>
      <c r="D27" s="103">
        <f t="shared" si="1"/>
        <v>2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[FACU+]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1.9672131147540985E-2</v>
      </c>
      <c r="O27" s="102">
        <f t="shared" si="3"/>
        <v>3.9344262295081971E-2</v>
      </c>
    </row>
    <row r="28" spans="1:15" x14ac:dyDescent="0.2">
      <c r="A28" s="108" t="s">
        <v>159</v>
      </c>
      <c r="B28" s="44" t="str">
        <f>IF(LEN(VLOOKUP(A28,'Species List'!$A:$G,2,FALSE))=0,"",VLOOKUP(A28,'Species List'!$A:$G,2,FALSE))</f>
        <v>amur maple</v>
      </c>
      <c r="C28" s="44">
        <f>IF(LEN(VLOOKUP(A28,'Species List'!$A:$G,3,FALSE))=0,"",VLOOKUP(A28,'Species List'!$A:$G,3,FALSE))</f>
        <v>0</v>
      </c>
      <c r="D28" s="103">
        <f t="shared" si="1"/>
        <v>0</v>
      </c>
      <c r="E28" s="44" t="str">
        <f>IF(LEN(VLOOKUP(A28,'Species List'!$A:$G,4,FALSE))=0,"",VLOOKUP(A28,'Species List'!$A:$G,4,FALSE))</f>
        <v>D</v>
      </c>
      <c r="F28" s="44" t="str">
        <f>IF(LEN(VLOOKUP(A28,'Species List'!$A:$G,5,FALSE))=0,"",VLOOKUP(A28,'Species List'!$A:$G,5,FALSE))</f>
        <v>Introduced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95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2"/>
        <v>0.5</v>
      </c>
      <c r="N28" s="88">
        <f t="shared" si="0"/>
        <v>3.2786885245901639E-3</v>
      </c>
      <c r="O28" s="102">
        <f t="shared" si="3"/>
        <v>0</v>
      </c>
    </row>
    <row r="29" spans="1:15" x14ac:dyDescent="0.2">
      <c r="A29" s="108" t="s">
        <v>172</v>
      </c>
      <c r="B29" s="44" t="str">
        <f>IF(LEN(VLOOKUP(A29,'Species List'!$A:$G,2,FALSE))=0,"",VLOOKUP(A29,'Species List'!$A:$G,2,FALSE))</f>
        <v>red maple</v>
      </c>
      <c r="C29" s="44">
        <f>IF(LEN(VLOOKUP(A29,'Species List'!$A:$G,3,FALSE))=0,"",VLOOKUP(A29,'Species List'!$A:$G,3,FALSE))</f>
        <v>3</v>
      </c>
      <c r="D29" s="103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[FAC]</v>
      </c>
      <c r="H29" s="44">
        <f>VLOOKUP(A29,'Species List'!$A:$G,7,FALSE)</f>
        <v>0</v>
      </c>
      <c r="J29" s="95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2"/>
        <v>0.5</v>
      </c>
      <c r="N29" s="88">
        <f t="shared" si="0"/>
        <v>3.2786885245901639E-3</v>
      </c>
      <c r="O29" s="102">
        <f t="shared" si="3"/>
        <v>9.8360655737704909E-3</v>
      </c>
    </row>
    <row r="30" spans="1:15" x14ac:dyDescent="0.2">
      <c r="A30" s="108" t="s">
        <v>3685</v>
      </c>
      <c r="B30" s="44" t="str">
        <f>IF(LEN(VLOOKUP(A30,'Species List'!$A:$G,2,FALSE))=0,"",VLOOKUP(A30,'Species List'!$A:$G,2,FALSE))</f>
        <v>white oak</v>
      </c>
      <c r="C30" s="44">
        <f>IF(LEN(VLOOKUP(A30,'Species List'!$A:$G,3,FALSE))=0,"",VLOOKUP(A30,'Species List'!$A:$G,3,FALSE))</f>
        <v>7</v>
      </c>
      <c r="D30" s="103">
        <f t="shared" si="1"/>
        <v>7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95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1.9672131147540985E-2</v>
      </c>
      <c r="O30" s="102">
        <f t="shared" si="3"/>
        <v>0.13770491803278689</v>
      </c>
    </row>
    <row r="31" spans="1:15" x14ac:dyDescent="0.2">
      <c r="A31" s="108" t="s">
        <v>1461</v>
      </c>
      <c r="B31" s="44" t="str">
        <f>IF(LEN(VLOOKUP(A31,'Species List'!$A:$G,2,FALSE))=0,"",VLOOKUP(A31,'Species List'!$A:$G,2,FALSE))</f>
        <v>gray dogwood</v>
      </c>
      <c r="C31" s="44">
        <f>IF(LEN(VLOOKUP(A31,'Species List'!$A:$G,3,FALSE))=0,"",VLOOKUP(A31,'Species List'!$A:$G,3,FALSE))</f>
        <v>2</v>
      </c>
      <c r="D31" s="103">
        <f t="shared" si="1"/>
        <v>2</v>
      </c>
      <c r="E31" s="44" t="str">
        <f>IF(LEN(VLOOKUP(A31,'Species List'!$A:$G,4,FALSE))=0,"",VLOOKUP(A31,'Species List'!$A:$G,4,FALSE))</f>
        <v>D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[FACW-]</v>
      </c>
      <c r="H31" s="44">
        <f>VLOOKUP(A31,'Species List'!$A:$G,7,FALSE)</f>
        <v>0</v>
      </c>
      <c r="J31" s="95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2"/>
        <v>0.5</v>
      </c>
      <c r="N31" s="88">
        <f t="shared" si="0"/>
        <v>3.2786885245901639E-3</v>
      </c>
      <c r="O31" s="102">
        <f t="shared" si="3"/>
        <v>6.5573770491803279E-3</v>
      </c>
    </row>
    <row r="32" spans="1:15" x14ac:dyDescent="0.2">
      <c r="A32" s="108" t="s">
        <v>1251</v>
      </c>
      <c r="B32" s="44" t="str">
        <f>IF(LEN(VLOOKUP(A32,'Species List'!$A:$G,2,FALSE))=0,"",VLOOKUP(A32,'Species List'!$A:$G,2,FALSE))</f>
        <v>hackberry</v>
      </c>
      <c r="C32" s="44">
        <f>IF(LEN(VLOOKUP(A32,'Species List'!$A:$G,3,FALSE))=0,"",VLOOKUP(A32,'Species List'!$A:$G,3,FALSE))</f>
        <v>3</v>
      </c>
      <c r="D32" s="103">
        <f t="shared" si="1"/>
        <v>3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[FAC-]</v>
      </c>
      <c r="H32" s="44">
        <f>VLOOKUP(A32,'Species List'!$A:$G,7,FALSE)</f>
        <v>0</v>
      </c>
      <c r="J32" s="95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2"/>
        <v>3</v>
      </c>
      <c r="N32" s="88">
        <f t="shared" si="0"/>
        <v>1.9672131147540985E-2</v>
      </c>
      <c r="O32" s="102">
        <f t="shared" si="3"/>
        <v>5.9016393442622953E-2</v>
      </c>
    </row>
    <row r="33" spans="1:15" x14ac:dyDescent="0.2">
      <c r="A33" s="108" t="s">
        <v>162</v>
      </c>
      <c r="B33" s="44" t="str">
        <f>IF(LEN(VLOOKUP(A33,'Species List'!$A:$G,2,FALSE))=0,"",VLOOKUP(A33,'Species List'!$A:$G,2,FALSE))</f>
        <v>box elder</v>
      </c>
      <c r="C33" s="44">
        <f>IF(LEN(VLOOKUP(A33,'Species List'!$A:$G,3,FALSE))=0,"",VLOOKUP(A33,'Species List'!$A:$G,3,FALSE))</f>
        <v>1</v>
      </c>
      <c r="D33" s="103">
        <f t="shared" si="1"/>
        <v>1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FACW-</v>
      </c>
      <c r="H33" s="44">
        <f>VLOOKUP(A33,'Species List'!$A:$G,7,FALSE)</f>
        <v>0</v>
      </c>
      <c r="J33" s="95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2"/>
        <v>0.5</v>
      </c>
      <c r="N33" s="88">
        <f t="shared" si="0"/>
        <v>3.2786885245901639E-3</v>
      </c>
      <c r="O33" s="102">
        <f t="shared" si="3"/>
        <v>3.2786885245901639E-3</v>
      </c>
    </row>
    <row r="34" spans="1:15" x14ac:dyDescent="0.2">
      <c r="A34" s="108" t="s">
        <v>4817</v>
      </c>
      <c r="B34" s="44" t="str">
        <f>IF(LEN(VLOOKUP(A34,'Species List'!$A:$G,2,FALSE))=0,"",VLOOKUP(A34,'Species List'!$A:$G,2,FALSE))</f>
        <v>prickly ash</v>
      </c>
      <c r="C34" s="44">
        <f>IF(LEN(VLOOKUP(A34,'Species List'!$A:$G,3,FALSE))=0,"",VLOOKUP(A34,'Species List'!$A:$G,3,FALSE))</f>
        <v>3</v>
      </c>
      <c r="D34" s="103">
        <f t="shared" si="1"/>
        <v>3</v>
      </c>
      <c r="E34" s="44" t="str">
        <f>IF(LEN(VLOOKUP(A34,'Species List'!$A:$G,4,FALSE))=0,"",VLOOKUP(A34,'Species List'!$A:$G,4,FALSE))</f>
        <v>D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</v>
      </c>
      <c r="H34" s="44">
        <f>VLOOKUP(A34,'Species List'!$A:$G,7,FALSE)</f>
        <v>0</v>
      </c>
      <c r="J34" s="95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4">
        <f t="shared" si="2"/>
        <v>0.5</v>
      </c>
      <c r="N34" s="88">
        <f t="shared" si="0"/>
        <v>3.2786885245901639E-3</v>
      </c>
      <c r="O34" s="102">
        <f t="shared" si="3"/>
        <v>9.8360655737704909E-3</v>
      </c>
    </row>
    <row r="35" spans="1:15" x14ac:dyDescent="0.2">
      <c r="A35" s="108" t="s">
        <v>1477</v>
      </c>
      <c r="B35" s="44" t="str">
        <f>IF(LEN(VLOOKUP(A35,'Species List'!$A:$G,2,FALSE))=0,"",VLOOKUP(A35,'Species List'!$A:$G,2,FALSE))</f>
        <v>American hazelnut</v>
      </c>
      <c r="C35" s="44">
        <f>IF(LEN(VLOOKUP(A35,'Species List'!$A:$G,3,FALSE))=0,"",VLOOKUP(A35,'Species List'!$A:$G,3,FALSE))</f>
        <v>3</v>
      </c>
      <c r="D35" s="103">
        <f t="shared" si="1"/>
        <v>3</v>
      </c>
      <c r="E35" s="44" t="str">
        <f>IF(LEN(VLOOKUP(A35,'Species List'!$A:$G,4,FALSE))=0,"",VLOOKUP(A35,'Species List'!$A:$G,4,FALSE))</f>
        <v>D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FACU-</v>
      </c>
      <c r="H35" s="44">
        <f>VLOOKUP(A35,'Species List'!$A:$G,7,FALSE)</f>
        <v>0</v>
      </c>
      <c r="J35" s="95" t="s">
        <v>5420</v>
      </c>
      <c r="K35" s="47" t="str">
        <f>VLOOKUP(J35,'Species List'!$H$1:$J$9,2,FALSE)</f>
        <v>&gt;0-1%</v>
      </c>
      <c r="L35" s="47">
        <f>VLOOKUP(K35,'Species List'!$I$1:$N$8,2,FALSE)</f>
        <v>0.5</v>
      </c>
      <c r="M35" s="104">
        <f t="shared" si="2"/>
        <v>0.5</v>
      </c>
      <c r="N35" s="88">
        <f t="shared" si="0"/>
        <v>3.2786885245901639E-3</v>
      </c>
      <c r="O35" s="102">
        <f t="shared" si="3"/>
        <v>9.8360655737704909E-3</v>
      </c>
    </row>
    <row r="36" spans="1:15" x14ac:dyDescent="0.2">
      <c r="A36" s="111" t="s">
        <v>4768</v>
      </c>
      <c r="B36" s="44" t="str">
        <f>IF(LEN(VLOOKUP(A36,'Species List'!$A:$G,2,FALSE))=0,"",VLOOKUP(A36,'Species List'!$A:$G,2,FALSE))</f>
        <v>wild grape</v>
      </c>
      <c r="C36" s="44">
        <f>IF(LEN(VLOOKUP(A36,'Species List'!$A:$G,3,FALSE))=0,"",VLOOKUP(A36,'Species List'!$A:$G,3,FALSE))</f>
        <v>2</v>
      </c>
      <c r="D36" s="103">
        <f t="shared" si="1"/>
        <v>2</v>
      </c>
      <c r="E36" s="44" t="str">
        <f>IF(LEN(VLOOKUP(A36,'Species List'!$A:$G,4,FALSE))=0,"",VLOOKUP(A36,'Species List'!$A:$G,4,FALSE))</f>
        <v>C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FACW-</v>
      </c>
      <c r="H36" s="44">
        <f>VLOOKUP(A36,'Species List'!$A:$G,7,FALSE)</f>
        <v>0</v>
      </c>
      <c r="J36" s="95">
        <v>2</v>
      </c>
      <c r="K36" s="47" t="str">
        <f>VLOOKUP(J36,'Species List'!$H$1:$J$9,2,FALSE)</f>
        <v>&gt;5-25%</v>
      </c>
      <c r="L36" s="47">
        <f>VLOOKUP(K36,'Species List'!$I$1:$N$8,2,FALSE)</f>
        <v>15</v>
      </c>
      <c r="M36" s="104">
        <f t="shared" si="2"/>
        <v>15</v>
      </c>
      <c r="N36" s="88">
        <f t="shared" si="0"/>
        <v>9.8360655737704916E-2</v>
      </c>
      <c r="O36" s="102">
        <f t="shared" si="3"/>
        <v>0.19672131147540983</v>
      </c>
    </row>
    <row r="37" spans="1:15" x14ac:dyDescent="0.2">
      <c r="A37" s="111" t="s">
        <v>3213</v>
      </c>
      <c r="B37" s="44" t="str">
        <f>IF(LEN(VLOOKUP(A37,'Species List'!$A:$G,2,FALSE))=0,"",VLOOKUP(A37,'Species List'!$A:$G,2,FALSE))</f>
        <v>Virginia creeper</v>
      </c>
      <c r="C37" s="44">
        <v>3</v>
      </c>
      <c r="D37" s="103">
        <f t="shared" si="1"/>
        <v>3</v>
      </c>
      <c r="E37" s="44" t="str">
        <f>IF(LEN(VLOOKUP(A37,'Species List'!$A:$G,4,FALSE))=0,"",VLOOKUP(A37,'Species List'!$A:$G,4,FALSE))</f>
        <v>C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FAC-</v>
      </c>
      <c r="H37" s="44">
        <f>VLOOKUP(A37,'Species List'!$A:$G,7,FALSE)</f>
        <v>0</v>
      </c>
      <c r="J37" s="95">
        <v>2</v>
      </c>
      <c r="K37" s="47" t="str">
        <f>VLOOKUP(J37,'Species List'!$H$1:$J$9,2,FALSE)</f>
        <v>&gt;5-25%</v>
      </c>
      <c r="L37" s="47">
        <f>VLOOKUP(K37,'Species List'!$I$1:$N$8,2,FALSE)</f>
        <v>15</v>
      </c>
      <c r="M37" s="104">
        <f t="shared" si="2"/>
        <v>15</v>
      </c>
      <c r="N37" s="88">
        <f t="shared" si="0"/>
        <v>9.8360655737704916E-2</v>
      </c>
      <c r="O37" s="102">
        <f t="shared" si="3"/>
        <v>0.29508196721311475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152.5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A28:A150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9" workbookViewId="0">
      <selection activeCell="F34" sqref="F34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5444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2" t="s">
        <v>706</v>
      </c>
      <c r="B12" s="44" t="str">
        <f>IF(LEN(VLOOKUP(A12,'Species List'!$A:$G,2,FALSE))=0,"",VLOOKUP(A12,'Species List'!$A:$G,2,FALSE))</f>
        <v>false nettle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OBL</v>
      </c>
      <c r="H12" s="44">
        <f>VLOOKUP(A12,'Species List'!$A:$G,7,FALSE)</f>
        <v>0</v>
      </c>
      <c r="J12" s="116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3.2608695652173912E-2</v>
      </c>
      <c r="O12" s="88">
        <f>D12*N12</f>
        <v>0.16304347826086957</v>
      </c>
    </row>
    <row r="13" spans="1:15" x14ac:dyDescent="0.2">
      <c r="A13" s="108" t="s">
        <v>1915</v>
      </c>
      <c r="B13" s="44" t="str">
        <f>IF(LEN(VLOOKUP(A13,'Species List'!$A:$G,2,FALSE))=0,"",VLOOKUP(A13,'Species List'!$A:$G,2,FALSE))</f>
        <v>purple-leaved willow herb</v>
      </c>
      <c r="C13" s="44">
        <f>IF(LEN(VLOOKUP(A13,'Species List'!$A:$G,3,FALSE))=0,"",VLOOKUP(A13,'Species List'!$A:$G,3,FALSE))</f>
        <v>3</v>
      </c>
      <c r="D13" s="103">
        <f t="shared" ref="D13:D76" si="0">VALUE(C13)</f>
        <v>3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OBL</v>
      </c>
      <c r="H13" s="44">
        <f>VLOOKUP(A13,'Species List'!$A:$G,7,FALSE)</f>
        <v>0</v>
      </c>
      <c r="J13" s="116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3.2608695652173912E-2</v>
      </c>
      <c r="O13" s="102">
        <f t="shared" ref="O13:O76" si="3">D13*N13</f>
        <v>9.7826086956521729E-2</v>
      </c>
    </row>
    <row r="14" spans="1:15" x14ac:dyDescent="0.2">
      <c r="A14" s="108" t="s">
        <v>2155</v>
      </c>
      <c r="B14" s="44" t="str">
        <f>IF(LEN(VLOOKUP(A14,'Species List'!$A:$G,2,FALSE))=0,"",VLOOKUP(A14,'Species List'!$A:$G,2,FALSE))</f>
        <v>hemp nettle</v>
      </c>
      <c r="C14" s="44">
        <f>IF(LEN(VLOOKUP(A14,'Species List'!$A:$G,3,FALSE))=0,"",VLOOKUP(A14,'Species List'!$A:$G,3,FALSE))</f>
        <v>0</v>
      </c>
      <c r="D14" s="103">
        <f t="shared" si="0"/>
        <v>0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6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3.2608695652173912E-2</v>
      </c>
      <c r="O14" s="102">
        <f t="shared" si="3"/>
        <v>0</v>
      </c>
    </row>
    <row r="15" spans="1:15" x14ac:dyDescent="0.2">
      <c r="A15" s="108" t="s">
        <v>3737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5</v>
      </c>
      <c r="D15" s="103">
        <f t="shared" si="0"/>
        <v>5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</v>
      </c>
      <c r="H15" s="44">
        <f>VLOOKUP(A15,'Species List'!$A:$G,7,FALSE)</f>
        <v>0</v>
      </c>
      <c r="J15" s="116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3.2608695652173912E-2</v>
      </c>
      <c r="O15" s="102">
        <f t="shared" si="3"/>
        <v>0.16304347826086957</v>
      </c>
    </row>
    <row r="16" spans="1:15" x14ac:dyDescent="0.2">
      <c r="A16" s="108" t="s">
        <v>1366</v>
      </c>
      <c r="B16" s="44" t="str">
        <f>IF(LEN(VLOOKUP(A16,'Species List'!$A:$G,2,FALSE))=0,"",VLOOKUP(A16,'Species List'!$A:$G,2,FALSE))</f>
        <v>common enchanter's nightshade</v>
      </c>
      <c r="C16" s="44">
        <f>IF(LEN(VLOOKUP(A16,'Species List'!$A:$G,3,FALSE))=0,"",VLOOKUP(A16,'Species List'!$A:$G,3,FALSE))</f>
        <v>2</v>
      </c>
      <c r="D16" s="103">
        <f t="shared" si="0"/>
        <v>2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[FACU]</v>
      </c>
      <c r="H16" s="44">
        <f>VLOOKUP(A16,'Species List'!$A:$G,7,FALSE)</f>
        <v>0</v>
      </c>
      <c r="J16" s="116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3.2608695652173912E-2</v>
      </c>
      <c r="O16" s="102">
        <f t="shared" si="3"/>
        <v>6.5217391304347824E-2</v>
      </c>
    </row>
    <row r="17" spans="1:15" x14ac:dyDescent="0.2">
      <c r="A17" s="108" t="s">
        <v>2302</v>
      </c>
      <c r="B17" s="44" t="str">
        <f>IF(LEN(VLOOKUP(A17,'Species List'!$A:$G,2,FALSE))=0,"",VLOOKUP(A17,'Species List'!$A:$G,2,FALSE))</f>
        <v>Virginia stickseed</v>
      </c>
      <c r="C17" s="44">
        <f>IF(LEN(VLOOKUP(A17,'Species List'!$A:$G,3,FALSE))=0,"",VLOOKUP(A17,'Species List'!$A:$G,3,FALSE))</f>
        <v>1</v>
      </c>
      <c r="D17" s="103">
        <f t="shared" si="0"/>
        <v>1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FAC-</v>
      </c>
      <c r="H17" s="44">
        <f>VLOOKUP(A17,'Species List'!$A:$G,7,FALSE)</f>
        <v>0</v>
      </c>
      <c r="J17" s="116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3.2608695652173912E-2</v>
      </c>
      <c r="O17" s="102">
        <f t="shared" si="3"/>
        <v>3.2608695652173912E-2</v>
      </c>
    </row>
    <row r="18" spans="1:15" x14ac:dyDescent="0.2">
      <c r="A18" s="108" t="s">
        <v>1659</v>
      </c>
      <c r="B18" s="44" t="str">
        <f>IF(LEN(VLOOKUP(A18,'Species List'!$A:$G,2,FALSE))=0,"",VLOOKUP(A18,'Species List'!$A:$G,2,FALSE))</f>
        <v>pointed-leaved tick trefoil</v>
      </c>
      <c r="C18" s="44">
        <v>6</v>
      </c>
      <c r="D18" s="103">
        <f t="shared" si="0"/>
        <v>6</v>
      </c>
      <c r="E18" s="44" t="str">
        <f>IF(LEN(VLOOKUP(A18,'Species List'!$A:$G,4,FALSE))=0,"",VLOOKUP(A18,'Species List'!$A:$G,4,FALSE))</f>
        <v>H</v>
      </c>
      <c r="F18" s="44" t="s">
        <v>147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116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1"/>
        <v>15</v>
      </c>
      <c r="N18" s="102">
        <f t="shared" si="2"/>
        <v>0.16304347826086957</v>
      </c>
      <c r="O18" s="102">
        <f t="shared" si="3"/>
        <v>0.97826086956521741</v>
      </c>
    </row>
    <row r="19" spans="1:15" x14ac:dyDescent="0.2">
      <c r="A19" s="108" t="s">
        <v>2166</v>
      </c>
      <c r="B19" s="44" t="str">
        <f>IF(LEN(VLOOKUP(A19,'Species List'!$A:$G,2,FALSE))=0,"",VLOOKUP(A19,'Species List'!$A:$G,2,FALSE))</f>
        <v>rough bedstraw</v>
      </c>
      <c r="C19" s="44">
        <f>IF(LEN(VLOOKUP(A19,'Species List'!$A:$G,3,FALSE))=0,"",VLOOKUP(A19,'Species List'!$A:$G,3,FALSE))</f>
        <v>6</v>
      </c>
      <c r="D19" s="103">
        <f t="shared" si="0"/>
        <v>6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OBL</v>
      </c>
      <c r="H19" s="44">
        <f>VLOOKUP(A19,'Species List'!$A:$G,7,FALSE)</f>
        <v>0</v>
      </c>
      <c r="J19" s="116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3.2608695652173912E-2</v>
      </c>
      <c r="O19" s="102">
        <f t="shared" si="3"/>
        <v>0.19565217391304346</v>
      </c>
    </row>
    <row r="20" spans="1:15" x14ac:dyDescent="0.2">
      <c r="A20" s="108" t="s">
        <v>2847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5</v>
      </c>
      <c r="D20" s="103">
        <f t="shared" si="0"/>
        <v>5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7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3.2608695652173912E-2</v>
      </c>
      <c r="O20" s="102">
        <f t="shared" si="3"/>
        <v>0.16304347826086957</v>
      </c>
    </row>
    <row r="21" spans="1:15" x14ac:dyDescent="0.2">
      <c r="A21" s="108" t="s">
        <v>5445</v>
      </c>
      <c r="B21" s="44" t="e">
        <f>IF(LEN(VLOOKUP(A21,'Species List'!$A:$G,2,FALSE))=0,"",VLOOKUP(A21,'Species List'!$A:$G,2,FALSE))</f>
        <v>#N/A</v>
      </c>
      <c r="C21" s="44">
        <v>0</v>
      </c>
      <c r="D21" s="103">
        <f t="shared" si="0"/>
        <v>0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6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3.2608695652173912E-2</v>
      </c>
      <c r="O21" s="102">
        <f t="shared" si="3"/>
        <v>0</v>
      </c>
    </row>
    <row r="22" spans="1:15" x14ac:dyDescent="0.2">
      <c r="A22" s="108" t="s">
        <v>2241</v>
      </c>
      <c r="B22" s="44" t="str">
        <f>IF(LEN(VLOOKUP(A22,'Species List'!$A:$G,2,FALSE))=0,"",VLOOKUP(A22,'Species List'!$A:$G,2,FALSE))</f>
        <v>white avens</v>
      </c>
      <c r="C22" s="44">
        <f>IF(LEN(VLOOKUP(A22,'Species List'!$A:$G,3,FALSE))=0,"",VLOOKUP(A22,'Species List'!$A:$G,3,FALSE))</f>
        <v>2</v>
      </c>
      <c r="D22" s="103">
        <f t="shared" si="0"/>
        <v>2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J22" s="116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3.2608695652173912E-2</v>
      </c>
      <c r="O22" s="102">
        <f t="shared" si="3"/>
        <v>6.5217391304347824E-2</v>
      </c>
    </row>
    <row r="23" spans="1:15" x14ac:dyDescent="0.2">
      <c r="A23" s="108" t="s">
        <v>3709</v>
      </c>
      <c r="B23" s="44" t="str">
        <f>IF(LEN(VLOOKUP(A23,'Species List'!$A:$G,2,FALSE))=0,"",VLOOKUP(A23,'Species List'!$A:$G,2,FALSE))</f>
        <v>kidney-leaved buttercup</v>
      </c>
      <c r="C23" s="44">
        <f>IF(LEN(VLOOKUP(A23,'Species List'!$A:$G,3,FALSE))=0,"",VLOOKUP(A23,'Species List'!$A:$G,3,FALSE))</f>
        <v>1</v>
      </c>
      <c r="D23" s="103">
        <f t="shared" si="0"/>
        <v>1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FACW-</v>
      </c>
      <c r="H23" s="44">
        <f>VLOOKUP(A23,'Species List'!$A:$G,7,FALSE)</f>
        <v>0</v>
      </c>
      <c r="J23" s="116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3.2608695652173912E-2</v>
      </c>
      <c r="O23" s="102">
        <f t="shared" si="3"/>
        <v>3.2608695652173912E-2</v>
      </c>
    </row>
    <row r="24" spans="1:15" x14ac:dyDescent="0.2">
      <c r="A24" s="113" t="s">
        <v>2846</v>
      </c>
      <c r="B24" s="44" t="str">
        <f>IF(LEN(VLOOKUP(A24,'Species List'!$A:$G,2,FALSE))=0,"",VLOOKUP(A24,'Species List'!$A:$G,2,FALSE))</f>
        <v>Canada mayflower</v>
      </c>
      <c r="C24" s="44">
        <f>IF(LEN(VLOOKUP(A24,'Species List'!$A:$G,3,FALSE))=0,"",VLOOKUP(A24,'Species List'!$A:$G,3,FALSE))</f>
        <v>5</v>
      </c>
      <c r="D24" s="103">
        <f t="shared" si="0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</v>
      </c>
      <c r="H24" s="44">
        <f>VLOOKUP(A24,'Species List'!$A:$G,7,FALSE)</f>
        <v>0</v>
      </c>
      <c r="J24" s="116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3.2608695652173912E-2</v>
      </c>
      <c r="O24" s="102">
        <f t="shared" si="3"/>
        <v>0.16304347826086957</v>
      </c>
    </row>
    <row r="25" spans="1:15" x14ac:dyDescent="0.2">
      <c r="A25" s="114" t="s">
        <v>2234</v>
      </c>
      <c r="B25" s="44" t="str">
        <f>IF(LEN(VLOOKUP(A25,'Species List'!$A:$G,2,FALSE))=0,"",VLOOKUP(A25,'Species List'!$A:$G,2,FALSE))</f>
        <v>wild geranium</v>
      </c>
      <c r="C25" s="44">
        <f>IF(LEN(VLOOKUP(A25,'Species List'!$A:$G,3,FALSE))=0,"",VLOOKUP(A25,'Species List'!$A:$G,3,FALSE))</f>
        <v>4</v>
      </c>
      <c r="D25" s="103">
        <f t="shared" si="0"/>
        <v>4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118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3.2608695652173912E-2</v>
      </c>
      <c r="O25" s="102">
        <f t="shared" si="3"/>
        <v>0.13043478260869565</v>
      </c>
    </row>
    <row r="26" spans="1:15" x14ac:dyDescent="0.2">
      <c r="A26" s="108" t="s">
        <v>1373</v>
      </c>
      <c r="B26" s="44" t="str">
        <f>IF(LEN(VLOOKUP(A26,'Species List'!$A:$G,2,FALSE))=0,"",VLOOKUP(A26,'Species List'!$A:$G,2,FALSE))</f>
        <v>Canada thistle</v>
      </c>
      <c r="C26" s="44">
        <f>IF(LEN(VLOOKUP(A26,'Species List'!$A:$G,3,FALSE))=0,"",VLOOKUP(A26,'Species List'!$A:$G,3,FALSE))</f>
        <v>0</v>
      </c>
      <c r="D26" s="103">
        <f t="shared" si="0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Introduced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116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3.2608695652173912E-2</v>
      </c>
      <c r="O26" s="102">
        <f t="shared" si="3"/>
        <v>0</v>
      </c>
    </row>
    <row r="27" spans="1:15" x14ac:dyDescent="0.2">
      <c r="A27" s="115" t="s">
        <v>1974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2</v>
      </c>
      <c r="D27" s="103">
        <f t="shared" si="0"/>
        <v>2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J27" s="116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3.2608695652173912E-2</v>
      </c>
      <c r="O27" s="102">
        <f t="shared" si="3"/>
        <v>6.5217391304347824E-2</v>
      </c>
    </row>
    <row r="28" spans="1:15" x14ac:dyDescent="0.2">
      <c r="A28" s="108" t="s">
        <v>359</v>
      </c>
      <c r="B28" s="44" t="str">
        <f>IF(LEN(VLOOKUP(A28,'Species List'!$A:$G,2,FALSE))=0,"",VLOOKUP(A28,'Species List'!$A:$G,2,FALSE))</f>
        <v>hog peanut</v>
      </c>
      <c r="C28" s="44">
        <f>IF(LEN(VLOOKUP(A28,'Species List'!$A:$G,3,FALSE))=0,"",VLOOKUP(A28,'Species List'!$A:$G,3,FALSE))</f>
        <v>2</v>
      </c>
      <c r="D28" s="103">
        <f t="shared" si="0"/>
        <v>2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</v>
      </c>
      <c r="H28" s="44">
        <f>VLOOKUP(A28,'Species List'!$A:$G,7,FALSE)</f>
        <v>0</v>
      </c>
      <c r="J28" s="116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3.2608695652173912E-2</v>
      </c>
      <c r="O28" s="102">
        <f t="shared" si="3"/>
        <v>6.5217391304347824E-2</v>
      </c>
    </row>
    <row r="29" spans="1:15" x14ac:dyDescent="0.2">
      <c r="A29" s="108" t="s">
        <v>5446</v>
      </c>
      <c r="B29" s="44" t="str">
        <f>IF(LEN(VLOOKUP(A29,'Species List'!$A:$G,2,FALSE))=0,"",VLOOKUP(A29,'Species List'!$A:$G,2,FALSE))</f>
        <v>lady fern</v>
      </c>
      <c r="C29" s="44">
        <f>IF(LEN(VLOOKUP(A29,'Species List'!$A:$G,3,FALSE))=0,"",VLOOKUP(A29,'Species List'!$A:$G,3,FALSE))</f>
        <v>5</v>
      </c>
      <c r="D29" s="103">
        <f t="shared" si="0"/>
        <v>5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6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3.2608695652173912E-2</v>
      </c>
      <c r="O29" s="102">
        <f t="shared" si="3"/>
        <v>0.16304347826086957</v>
      </c>
    </row>
    <row r="30" spans="1:15" x14ac:dyDescent="0.2">
      <c r="A30" s="108" t="s">
        <v>245</v>
      </c>
      <c r="B30" s="44" t="str">
        <f>IF(LEN(VLOOKUP(A30,'Species List'!$A:$G,2,FALSE))=0,"",VLOOKUP(A30,'Species List'!$A:$G,2,FALSE))</f>
        <v>roadside agrimony</v>
      </c>
      <c r="C30" s="44">
        <f>IF(LEN(VLOOKUP(A30,'Species List'!$A:$G,3,FALSE))=0,"",VLOOKUP(A30,'Species List'!$A:$G,3,FALSE))</f>
        <v>3</v>
      </c>
      <c r="D30" s="103">
        <f t="shared" si="0"/>
        <v>3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FAC-</v>
      </c>
      <c r="H30" s="44">
        <f>VLOOKUP(A30,'Species List'!$A:$G,7,FALSE)</f>
        <v>0</v>
      </c>
      <c r="J30" s="116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3.2608695652173912E-2</v>
      </c>
      <c r="O30" s="102">
        <f t="shared" si="3"/>
        <v>9.7826086956521729E-2</v>
      </c>
    </row>
    <row r="31" spans="1:15" x14ac:dyDescent="0.2">
      <c r="A31" s="108" t="s">
        <v>4213</v>
      </c>
      <c r="B31" s="44" t="str">
        <f>IF(LEN(VLOOKUP(A31,'Species List'!$A:$G,2,FALSE))=0,"",VLOOKUP(A31,'Species List'!$A:$G,2,FALSE))</f>
        <v>late goldenrod</v>
      </c>
      <c r="C31" s="44">
        <v>1</v>
      </c>
      <c r="D31" s="103">
        <f t="shared" si="0"/>
        <v>1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</v>
      </c>
      <c r="H31" s="44">
        <f>VLOOKUP(A31,'Species List'!$A:$G,7,FALSE)</f>
        <v>0</v>
      </c>
      <c r="J31" s="116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3.2608695652173912E-2</v>
      </c>
      <c r="O31" s="102">
        <f t="shared" si="3"/>
        <v>3.2608695652173912E-2</v>
      </c>
    </row>
    <row r="32" spans="1:15" x14ac:dyDescent="0.2">
      <c r="A32" s="108" t="s">
        <v>1420</v>
      </c>
      <c r="B32" s="44" t="str">
        <f>IF(LEN(VLOOKUP(A32,'Species List'!$A:$G,2,FALSE))=0,"",VLOOKUP(A32,'Species List'!$A:$G,2,FALSE))</f>
        <v>horseweed</v>
      </c>
      <c r="C32" s="44">
        <f>IF(LEN(VLOOKUP(A32,'Species List'!$A:$G,3,FALSE))=0,"",VLOOKUP(A32,'Species List'!$A:$G,3,FALSE))</f>
        <v>0</v>
      </c>
      <c r="D32" s="103">
        <f t="shared" si="0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[FAC-]</v>
      </c>
      <c r="H32" s="44">
        <f>VLOOKUP(A32,'Species List'!$A:$G,7,FALSE)</f>
        <v>0</v>
      </c>
      <c r="J32" s="116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3.2608695652173912E-2</v>
      </c>
      <c r="O32" s="102">
        <f t="shared" si="3"/>
        <v>0</v>
      </c>
    </row>
    <row r="33" spans="1:15" x14ac:dyDescent="0.2">
      <c r="A33" s="111" t="s">
        <v>5447</v>
      </c>
      <c r="B33" s="44" t="e">
        <f>IF(LEN(VLOOKUP(A33,'Species List'!$A:$G,2,FALSE))=0,"",VLOOKUP(A33,'Species List'!$A:$G,2,FALSE))</f>
        <v>#N/A</v>
      </c>
      <c r="C33" s="44">
        <v>4</v>
      </c>
      <c r="D33" s="103">
        <f t="shared" si="0"/>
        <v>4</v>
      </c>
      <c r="E33" s="44" t="e">
        <f>IF(LEN(VLOOKUP(A33,'Species List'!$A:$G,4,FALSE))=0,"",VLOOKUP(A33,'Species List'!$A:$G,4,FALSE))</f>
        <v>#N/A</v>
      </c>
      <c r="F33" s="44" t="s">
        <v>147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116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3.2608695652173912E-2</v>
      </c>
      <c r="O33" s="102">
        <f t="shared" si="3"/>
        <v>0.13043478260869565</v>
      </c>
    </row>
    <row r="34" spans="1:15" x14ac:dyDescent="0.2">
      <c r="A34" s="108" t="s">
        <v>4653</v>
      </c>
      <c r="B34" s="44" t="str">
        <f>IF(LEN(VLOOKUP(A34,'Species List'!$A:$G,2,FALSE))=0,"",VLOOKUP(A34,'Species List'!$A:$G,2,FALSE))</f>
        <v>common mullein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Introduced</v>
      </c>
      <c r="G34" s="44" t="str">
        <f>IF(LEN(VLOOKUP(A34,'Species List'!$A:$G,6,FALSE))=0,"",VLOOKUP(A34,'Species List'!$A:$G,6,FALSE))</f>
        <v>UPL</v>
      </c>
      <c r="H34" s="44">
        <f>VLOOKUP(A34,'Species List'!$A:$G,7,FALSE)</f>
        <v>0</v>
      </c>
      <c r="J34" s="116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4">
        <f t="shared" si="1"/>
        <v>0.5</v>
      </c>
      <c r="N34" s="102">
        <f t="shared" si="2"/>
        <v>5.434782608695652E-3</v>
      </c>
      <c r="O34" s="102">
        <f t="shared" si="3"/>
        <v>0</v>
      </c>
    </row>
    <row r="35" spans="1:15" x14ac:dyDescent="0.2">
      <c r="A35" s="111" t="s">
        <v>4430</v>
      </c>
      <c r="B35" s="44" t="str">
        <f>IF(LEN(VLOOKUP(A35,'Species List'!$A:$G,2,FALSE))=0,"",VLOOKUP(A35,'Species List'!$A:$G,2,FALSE))</f>
        <v/>
      </c>
      <c r="C35" s="44">
        <f>IF(LEN(VLOOKUP(A35,'Species List'!$A:$G,3,FALSE))=0,"",VLOOKUP(A35,'Species List'!$A:$G,3,FALSE))</f>
        <v>6</v>
      </c>
      <c r="D35" s="103">
        <f t="shared" si="0"/>
        <v>6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</v>
      </c>
      <c r="H35" s="44">
        <f>VLOOKUP(A35,'Species List'!$A:$G,7,FALSE)</f>
        <v>0</v>
      </c>
      <c r="J35" s="116">
        <v>1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3.2608695652173912E-2</v>
      </c>
      <c r="O35" s="102">
        <f t="shared" si="3"/>
        <v>0.19565217391304346</v>
      </c>
    </row>
    <row r="36" spans="1:15" x14ac:dyDescent="0.2">
      <c r="A36" s="108" t="s">
        <v>2187</v>
      </c>
      <c r="B36" s="44" t="str">
        <f>IF(LEN(VLOOKUP(A36,'Species List'!$A:$G,2,FALSE))=0,"",VLOOKUP(A36,'Species List'!$A:$G,2,FALSE))</f>
        <v/>
      </c>
      <c r="C36" s="44">
        <f>IF(LEN(VLOOKUP(A36,'Species List'!$A:$G,3,FALSE))=0,"",VLOOKUP(A36,'Species List'!$A:$G,3,FALSE))</f>
        <v>4</v>
      </c>
      <c r="D36" s="103">
        <f t="shared" si="0"/>
        <v>4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FACU+</v>
      </c>
      <c r="H36" s="44">
        <f>VLOOKUP(A36,'Species List'!$A:$G,7,FALSE)</f>
        <v>0</v>
      </c>
      <c r="J36" s="116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3.2608695652173912E-2</v>
      </c>
      <c r="O36" s="102">
        <f t="shared" si="3"/>
        <v>0.13043478260869565</v>
      </c>
    </row>
    <row r="37" spans="1:15" x14ac:dyDescent="0.2">
      <c r="A37" s="111" t="s">
        <v>4605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1</v>
      </c>
      <c r="D37" s="103">
        <f t="shared" si="0"/>
        <v>1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116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3.2608695652173912E-2</v>
      </c>
      <c r="O37" s="102">
        <f t="shared" si="3"/>
        <v>3.2608695652173912E-2</v>
      </c>
    </row>
    <row r="38" spans="1:15" x14ac:dyDescent="0.2">
      <c r="A38" s="111" t="s">
        <v>199</v>
      </c>
      <c r="B38" s="44" t="str">
        <f>IF(LEN(VLOOKUP(A38,'Species List'!$A:$G,2,FALSE))=0,"",VLOOKUP(A38,'Species List'!$A:$G,2,FALSE))</f>
        <v>red baneberry</v>
      </c>
      <c r="C38" s="44">
        <f>IF(LEN(VLOOKUP(A38,'Species List'!$A:$G,3,FALSE))=0,"",VLOOKUP(A38,'Species List'!$A:$G,3,FALSE))</f>
        <v>7</v>
      </c>
      <c r="D38" s="103">
        <f t="shared" si="0"/>
        <v>7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FACU</v>
      </c>
      <c r="H38" s="44">
        <f>VLOOKUP(A38,'Species List'!$A:$G,7,FALSE)</f>
        <v>0</v>
      </c>
      <c r="J38" s="116" t="s">
        <v>5420</v>
      </c>
      <c r="K38" s="47" t="str">
        <f>VLOOKUP(J38,'Species List'!$H$1:$J$9,2,FALSE)</f>
        <v>&gt;0-1%</v>
      </c>
      <c r="L38" s="47">
        <f>VLOOKUP(K38,'Species List'!$I$1:$N$8,2,FALSE)</f>
        <v>0.5</v>
      </c>
      <c r="M38" s="104">
        <f t="shared" si="1"/>
        <v>0.5</v>
      </c>
      <c r="N38" s="102">
        <f t="shared" si="2"/>
        <v>5.434782608695652E-3</v>
      </c>
      <c r="O38" s="102">
        <f t="shared" si="3"/>
        <v>3.8043478260869568E-2</v>
      </c>
    </row>
    <row r="39" spans="1:15" x14ac:dyDescent="0.2">
      <c r="A39" s="111" t="s">
        <v>155</v>
      </c>
      <c r="B39" s="44" t="str">
        <f>IF(LEN(VLOOKUP(A39,'Species List'!$A:$G,2,FALSE))=0,"",VLOOKUP(A39,'Species List'!$A:$G,2,FALSE))</f>
        <v>three-seeded mercury</v>
      </c>
      <c r="C39" s="44">
        <f>IF(LEN(VLOOKUP(A39,'Species List'!$A:$G,3,FALSE))=0,"",VLOOKUP(A39,'Species List'!$A:$G,3,FALSE))</f>
        <v>0</v>
      </c>
      <c r="D39" s="103">
        <f t="shared" si="0"/>
        <v>0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FACU</v>
      </c>
      <c r="H39" s="44">
        <f>VLOOKUP(A39,'Species List'!$A:$G,7,FALSE)</f>
        <v>0</v>
      </c>
      <c r="J39" s="116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3.2608695652173912E-2</v>
      </c>
      <c r="O39" s="102">
        <f t="shared" si="3"/>
        <v>0</v>
      </c>
    </row>
    <row r="40" spans="1:15" x14ac:dyDescent="0.2">
      <c r="A40" s="111" t="s">
        <v>4451</v>
      </c>
      <c r="B40" s="44" t="str">
        <f>IF(LEN(VLOOKUP(A40,'Species List'!$A:$G,2,FALSE))=0,"",VLOOKUP(A40,'Species List'!$A:$G,2,FALSE))</f>
        <v>tail-leaved aster</v>
      </c>
      <c r="C40" s="44">
        <f>IF(LEN(VLOOKUP(A40,'Species List'!$A:$G,3,FALSE))=0,"",VLOOKUP(A40,'Species List'!$A:$G,3,FALSE))</f>
        <v>3</v>
      </c>
      <c r="D40" s="103">
        <f t="shared" si="0"/>
        <v>3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/>
      </c>
      <c r="H40" s="44">
        <f>VLOOKUP(A40,'Species List'!$A:$G,7,FALSE)</f>
        <v>0</v>
      </c>
      <c r="J40" s="116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4">
        <f t="shared" si="1"/>
        <v>0.5</v>
      </c>
      <c r="N40" s="102">
        <f t="shared" si="2"/>
        <v>5.434782608695652E-3</v>
      </c>
      <c r="O40" s="102">
        <f t="shared" si="3"/>
        <v>1.6304347826086956E-2</v>
      </c>
    </row>
    <row r="41" spans="1:15" x14ac:dyDescent="0.2">
      <c r="A41" s="111" t="s">
        <v>4469</v>
      </c>
      <c r="B41" s="44" t="str">
        <f>IF(LEN(VLOOKUP(A41,'Species List'!$A:$G,2,FALSE))=0,"",VLOOKUP(A41,'Species List'!$A:$G,2,FALSE))</f>
        <v>common dandelion</v>
      </c>
      <c r="C41" s="44">
        <f>IF(LEN(VLOOKUP(A41,'Species List'!$A:$G,3,FALSE))=0,"",VLOOKUP(A41,'Species List'!$A:$G,3,FALSE))</f>
        <v>0</v>
      </c>
      <c r="D41" s="103">
        <f t="shared" si="0"/>
        <v>0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Introduced</v>
      </c>
      <c r="G41" s="44" t="str">
        <f>IF(LEN(VLOOKUP(A41,'Species List'!$A:$G,6,FALSE))=0,"",VLOOKUP(A41,'Species List'!$A:$G,6,FALSE))</f>
        <v>FACU</v>
      </c>
      <c r="H41" s="44">
        <f>VLOOKUP(A41,'Species List'!$A:$G,7,FALSE)</f>
        <v>0</v>
      </c>
      <c r="J41" s="116" t="s">
        <v>5420</v>
      </c>
      <c r="K41" s="47" t="str">
        <f>VLOOKUP(J41,'Species List'!$H$1:$J$9,2,FALSE)</f>
        <v>&gt;0-1%</v>
      </c>
      <c r="L41" s="47">
        <f>VLOOKUP(K41,'Species List'!$I$1:$N$8,2,FALSE)</f>
        <v>0.5</v>
      </c>
      <c r="M41" s="104">
        <f t="shared" si="1"/>
        <v>0.5</v>
      </c>
      <c r="N41" s="102">
        <f t="shared" si="2"/>
        <v>5.434782608695652E-3</v>
      </c>
      <c r="O41" s="102">
        <f t="shared" si="3"/>
        <v>0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92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14" sqref="F14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2"/>
      <c r="C7" s="142"/>
      <c r="D7" s="142"/>
      <c r="E7" s="142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5448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1" t="s">
        <v>5449</v>
      </c>
      <c r="B12" s="44" t="e">
        <f>IF(LEN(VLOOKUP(A12,'Species List'!$A:$G,2,FALSE))=0,"",VLOOKUP(A12,'Species List'!$A:$G,2,FALSE))</f>
        <v>#N/A</v>
      </c>
      <c r="C12" s="44">
        <v>3</v>
      </c>
      <c r="D12" s="103">
        <f>VALUE(C12)</f>
        <v>3</v>
      </c>
      <c r="E12" s="44" t="e">
        <f>IF(LEN(VLOOKUP(A12,'Species List'!$A:$G,4,FALSE))=0,"",VLOOKUP(A12,'Species List'!$A:$G,4,FALSE))</f>
        <v>#N/A</v>
      </c>
      <c r="F12" s="44" t="s">
        <v>147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116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0.33333333333333331</v>
      </c>
      <c r="O12" s="31">
        <f>D12*N12</f>
        <v>1</v>
      </c>
    </row>
    <row r="13" spans="1:15" x14ac:dyDescent="0.2">
      <c r="A13" s="119" t="s">
        <v>5450</v>
      </c>
      <c r="B13" s="44" t="e">
        <f>IF(LEN(VLOOKUP(A13,'Species List'!$A:$G,2,FALSE))=0,"",VLOOKUP(A13,'Species List'!$A:$G,2,FALSE))</f>
        <v>#N/A</v>
      </c>
      <c r="C13" s="44">
        <v>3</v>
      </c>
      <c r="D13" s="103">
        <f t="shared" ref="D13:D18" si="1">VALUE(C13)</f>
        <v>3</v>
      </c>
      <c r="E13" s="44" t="e">
        <f>IF(LEN(VLOOKUP(A13,'Species List'!$A:$G,4,FALSE))=0,"",VLOOKUP(A13,'Species List'!$A:$G,4,FALSE))</f>
        <v>#N/A</v>
      </c>
      <c r="F13" s="44" t="s">
        <v>147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120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0.33333333333333331</v>
      </c>
      <c r="O13" s="102">
        <f t="shared" ref="O13:O76" si="3">D13*N13</f>
        <v>1</v>
      </c>
    </row>
    <row r="14" spans="1:15" x14ac:dyDescent="0.2">
      <c r="A14" s="111" t="s">
        <v>1122</v>
      </c>
      <c r="B14" s="44" t="str">
        <f>IF(LEN(VLOOKUP(A14,'Species List'!$A:$G,2,FALSE))=0,"",VLOOKUP(A14,'Species List'!$A:$G,2,FALSE))</f>
        <v>Pennsylvania sedge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6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0.33333333333333331</v>
      </c>
      <c r="O14" s="102">
        <f t="shared" si="3"/>
        <v>1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102" t="e">
        <f t="shared" si="0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9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6" t="s">
        <v>4840</v>
      </c>
      <c r="B1" s="146"/>
      <c r="C1" s="146"/>
      <c r="D1" s="146"/>
      <c r="E1" s="146"/>
      <c r="F1" s="146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22</v>
      </c>
      <c r="C4" s="106">
        <f>COUNTIF(Forbs!$F$10:$F$148,"Native")</f>
        <v>25</v>
      </c>
      <c r="D4" s="106">
        <f>COUNTIF(Grasses!$F$10:$F$149,"Native")</f>
        <v>3</v>
      </c>
      <c r="E4" s="106">
        <f>AVERAGE(B4:D4)</f>
        <v>16.666666666666668</v>
      </c>
      <c r="F4" s="106">
        <f>SUM(B4:D4)</f>
        <v>50</v>
      </c>
    </row>
    <row r="5" spans="1:6" ht="17.399999999999999" x14ac:dyDescent="0.3">
      <c r="A5" s="53" t="s">
        <v>4845</v>
      </c>
      <c r="B5" s="106">
        <f>COUNTIF(Woody!$F10:$F199,"Introduced")</f>
        <v>4</v>
      </c>
      <c r="C5" s="106">
        <f>COUNTIF(Forbs!$F10:$F199,"Introduced")</f>
        <v>4</v>
      </c>
      <c r="D5" s="106">
        <f>COUNTIF(Grasses!$F10:$F199,"Introduced")</f>
        <v>0</v>
      </c>
      <c r="E5" s="106">
        <f t="shared" ref="E5:E6" si="0">AVERAGE(B5:D5)</f>
        <v>2.6666666666666665</v>
      </c>
      <c r="F5" s="106">
        <f>SUM(B5:D5)</f>
        <v>8</v>
      </c>
    </row>
    <row r="6" spans="1:6" s="83" customFormat="1" ht="19.8" x14ac:dyDescent="0.4">
      <c r="A6" s="53" t="s">
        <v>5422</v>
      </c>
      <c r="B6" s="106">
        <f>SUM(B4:B5)</f>
        <v>26</v>
      </c>
      <c r="C6" s="106">
        <f>SUM(C4:C5)</f>
        <v>29</v>
      </c>
      <c r="D6" s="106">
        <f>SUM(D4:D5)</f>
        <v>3</v>
      </c>
      <c r="E6" s="106">
        <f t="shared" si="0"/>
        <v>19.333333333333332</v>
      </c>
      <c r="F6" s="106">
        <f>SUM(B6:D6)</f>
        <v>58</v>
      </c>
    </row>
    <row r="7" spans="1:6" ht="17.399999999999999" x14ac:dyDescent="0.3">
      <c r="A7" s="53" t="s">
        <v>4846</v>
      </c>
      <c r="B7" s="106">
        <f>AVERAGEIF(Woody!D12:D150,"&gt;0")</f>
        <v>3.2727272727272729</v>
      </c>
      <c r="C7" s="106">
        <f>AVERAGEIF(Forbs!D12:D150,"&gt;0")</f>
        <v>3.6086956521739131</v>
      </c>
      <c r="D7" s="106">
        <f>AVERAGEIF(Grasses!D12:D150,"&gt;0")</f>
        <v>3</v>
      </c>
      <c r="E7" s="106">
        <f>AVERAGE(B7:D7)</f>
        <v>3.2938076416337285</v>
      </c>
      <c r="F7" s="106">
        <f>(SUMIF(Woody!D12:D150,"&gt;0")+SUMIF(Forbs!D12:D150,"&gt;0")+SUMIF(Grasses!D12:D150,"&gt;0"))/(COUNTIF(Woody!D12:D150,"&gt;0")+COUNTIF(Forbs!D12:D150,"&gt;0")+COUNTIF(Grasses!D12:D150,"&gt;0"))</f>
        <v>3.4166666666666665</v>
      </c>
    </row>
    <row r="8" spans="1:6" s="31" customFormat="1" ht="19.8" x14ac:dyDescent="0.4">
      <c r="A8" s="53" t="s">
        <v>5423</v>
      </c>
      <c r="B8" s="106">
        <f>AVERAGEIF(Woody!D12:D150,"&gt;=0")</f>
        <v>2.7692307692307692</v>
      </c>
      <c r="C8" s="106">
        <f>AVERAGEIF(Forbs!D12:D150,"&gt;=0")</f>
        <v>2.7666666666666666</v>
      </c>
      <c r="D8" s="106">
        <f>AVERAGEIF(Grasses!D12:D150,"&gt;=0")</f>
        <v>3</v>
      </c>
      <c r="E8" s="106">
        <f>AVERAGE(B8:D8)</f>
        <v>2.8452991452991454</v>
      </c>
      <c r="F8" s="106">
        <f>(SUMIF(Woody!D12:D150,"&gt;=0")+SUMIF(Forbs!D12:D150,"&gt;=0")+SUMIF(Grasses!D12:D150,"&gt;=0"))/(COUNTIF(Woody!D12:D150,"&gt;=0")+COUNTIF(Forbs!D12:D150,"&gt;=0")+COUNTIF(Grasses!D12:D150,"&gt;=0"))</f>
        <v>2.7796610169491527</v>
      </c>
    </row>
    <row r="9" spans="1:6" ht="17.399999999999999" x14ac:dyDescent="0.3">
      <c r="A9" s="53" t="s">
        <v>4839</v>
      </c>
      <c r="B9" s="106">
        <f>SQRT(B4)*B7</f>
        <v>15.350451577603954</v>
      </c>
      <c r="C9" s="106">
        <f>SQRT(C4)*C7</f>
        <v>18.043478260869566</v>
      </c>
      <c r="D9" s="106">
        <f>SQRT(D4)*D7</f>
        <v>5.196152422706632</v>
      </c>
      <c r="E9" s="106">
        <f>SQRT(E4)*E7</f>
        <v>13.446913388137782</v>
      </c>
      <c r="F9" s="106">
        <f>SQRT(F4)*F7</f>
        <v>24.159481690540375</v>
      </c>
    </row>
    <row r="10" spans="1:6" s="84" customFormat="1" ht="19.8" x14ac:dyDescent="0.4">
      <c r="A10" s="53" t="s">
        <v>5424</v>
      </c>
      <c r="B10" s="106">
        <f>SQRT(B6)*B8</f>
        <v>14.120361729949249</v>
      </c>
      <c r="C10" s="106">
        <f>SQRT(C6)*C8</f>
        <v>14.89895596640546</v>
      </c>
      <c r="D10" s="106">
        <f>SQRT(D6)*D8</f>
        <v>5.196152422706632</v>
      </c>
      <c r="E10" s="106">
        <f>SQRT(E6)*E8</f>
        <v>12.510691149598445</v>
      </c>
      <c r="F10" s="106">
        <f>SQRT(F6)*F8</f>
        <v>21.169267616299681</v>
      </c>
    </row>
    <row r="11" spans="1:6" ht="17.399999999999999" x14ac:dyDescent="0.3">
      <c r="A11" s="53" t="s">
        <v>4847</v>
      </c>
      <c r="B11" s="106">
        <f>SUMIF(Woody!$M$10:$M$150,"&gt;=0")</f>
        <v>152.5</v>
      </c>
      <c r="C11" s="106">
        <f>SUMIF(Forbs!$M$10:$M$151,"&gt;=0")</f>
        <v>92</v>
      </c>
      <c r="D11" s="106">
        <f>SUMIF(Grasses!$M$10:$M$150,"&gt;=0")</f>
        <v>9</v>
      </c>
      <c r="E11" s="106">
        <f>AVERAGE(B11:D11)</f>
        <v>84.5</v>
      </c>
      <c r="F11" s="106">
        <f>SUM(B11:D11)</f>
        <v>253.5</v>
      </c>
    </row>
    <row r="12" spans="1:6" ht="17.399999999999999" x14ac:dyDescent="0.3">
      <c r="A12" s="53" t="s">
        <v>5388</v>
      </c>
      <c r="B12" s="106">
        <f>SUMIF(Woody!$F$10:$F$150,"Introduced",Woody!$L$10:$L$150)</f>
        <v>7</v>
      </c>
      <c r="C12" s="106">
        <f>SUMIF(Forbs!$F$10:$F$151,"Introduced",Forbs!$L$10:$L$151)</f>
        <v>7</v>
      </c>
      <c r="D12" s="106">
        <f>SUMIF(Grasses!$F$10:$F$150,"Introduced",Grasses!$L$10:$L$150)</f>
        <v>0</v>
      </c>
      <c r="E12" s="106">
        <f>AVERAGE(B12:D12)</f>
        <v>4.666666666666667</v>
      </c>
      <c r="F12" s="106">
        <f>SUM(B12:D12)</f>
        <v>14</v>
      </c>
    </row>
    <row r="13" spans="1:6" ht="18" thickBot="1" x14ac:dyDescent="0.35">
      <c r="A13" s="54" t="s">
        <v>4848</v>
      </c>
      <c r="B13" s="107">
        <f>B12/B11</f>
        <v>4.5901639344262293E-2</v>
      </c>
      <c r="C13" s="107">
        <f>C12/C11</f>
        <v>7.6086956521739135E-2</v>
      </c>
      <c r="D13" s="107">
        <f>D12/D11</f>
        <v>0</v>
      </c>
      <c r="E13" s="107">
        <f>E12/E11</f>
        <v>5.5226824457593693E-2</v>
      </c>
      <c r="F13" s="107">
        <f>F12/F11</f>
        <v>5.5226824457593686E-2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4.0590163934426222</v>
      </c>
      <c r="C15" s="105">
        <f>SUMIF(Forbs!$O$10:$O$150,"&gt;=0")</f>
        <v>3.2173913043478262</v>
      </c>
      <c r="D15" s="105">
        <f>SUMIF(Grasses!$O$10:$O$150,"&gt;=0")</f>
        <v>3</v>
      </c>
      <c r="E15" s="105">
        <f>AVERAGE(B15:D15)</f>
        <v>3.4254692325968161</v>
      </c>
      <c r="F15" s="106">
        <f>SUM(B15:D15)</f>
        <v>10.276407697790448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2022-02-03T19:50:19Z</dcterms:modified>
</cp:coreProperties>
</file>