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F76146E0-539C-4EF2-B771-8918B619307E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4" i="10"/>
  <c r="C15" i="10"/>
  <c r="C16" i="10"/>
  <c r="C17" i="10"/>
  <c r="C18" i="10"/>
  <c r="C19" i="10"/>
  <c r="F14" i="9"/>
  <c r="F15" i="9"/>
  <c r="F17" i="9"/>
  <c r="F18" i="9"/>
  <c r="C13" i="9"/>
  <c r="C14" i="9"/>
  <c r="C15" i="9"/>
  <c r="C17" i="9"/>
  <c r="C18" i="9"/>
  <c r="B12" i="9" l="1"/>
  <c r="D16" i="9"/>
  <c r="C13" i="6" l="1"/>
  <c r="C14" i="6"/>
  <c r="C15" i="6"/>
  <c r="C17" i="6"/>
  <c r="C18" i="6"/>
  <c r="C19" i="6"/>
  <c r="C20" i="6"/>
  <c r="C20" i="10"/>
  <c r="C21" i="10"/>
  <c r="C22" i="10"/>
  <c r="C23" i="10"/>
  <c r="C24" i="10"/>
  <c r="C25" i="10"/>
  <c r="C27" i="10"/>
  <c r="C28" i="10"/>
  <c r="C29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20" i="9"/>
  <c r="C22" i="9"/>
  <c r="C23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27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3" i="9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 s="1"/>
  <c r="M24" i="9" s="1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/>
  <c r="B28" i="9"/>
  <c r="C28" i="9"/>
  <c r="D28" i="9" s="1"/>
  <c r="E28" i="9"/>
  <c r="F28" i="9"/>
  <c r="G28" i="9"/>
  <c r="H28" i="9"/>
  <c r="K28" i="9"/>
  <c r="L28" i="9" s="1"/>
  <c r="M28" i="9" s="1"/>
  <c r="B29" i="9"/>
  <c r="C29" i="9"/>
  <c r="D29" i="9" s="1"/>
  <c r="E29" i="9"/>
  <c r="F29" i="9"/>
  <c r="G29" i="9"/>
  <c r="H29" i="9"/>
  <c r="K29" i="9"/>
  <c r="L29" i="9" s="1"/>
  <c r="M29" i="9" s="1"/>
  <c r="M150" i="6" l="1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M31" i="9" s="1"/>
  <c r="H31" i="9"/>
  <c r="G31" i="9"/>
  <c r="F31" i="9"/>
  <c r="B12" i="7" s="1"/>
  <c r="E31" i="9"/>
  <c r="C31" i="9"/>
  <c r="D31" i="9" s="1"/>
  <c r="B31" i="9"/>
  <c r="K30" i="9"/>
  <c r="L30" i="9" s="1"/>
  <c r="M30" i="9" s="1"/>
  <c r="H30" i="9"/>
  <c r="G30" i="9"/>
  <c r="F30" i="9"/>
  <c r="E30" i="9"/>
  <c r="C30" i="9"/>
  <c r="D30" i="9" s="1"/>
  <c r="B30" i="9"/>
  <c r="B11" i="7" l="1"/>
  <c r="B13" i="7" s="1"/>
  <c r="B4" i="7"/>
  <c r="B5" i="7"/>
  <c r="B8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B6" i="7" l="1"/>
  <c r="B10" i="7" s="1"/>
  <c r="B9" i="7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E7" i="7" s="1"/>
  <c r="D8" i="7"/>
  <c r="E8" i="7" s="1"/>
  <c r="F8" i="7"/>
  <c r="F7" i="7"/>
  <c r="D5" i="7"/>
  <c r="E5" i="7" s="1"/>
  <c r="D4" i="7"/>
  <c r="D12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D11" i="7" s="1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F11" i="7" l="1"/>
  <c r="F13" i="7" s="1"/>
  <c r="E11" i="7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5" i="7" l="1"/>
  <c r="E15" i="7" l="1"/>
  <c r="F15" i="7"/>
  <c r="F10" i="7"/>
  <c r="F9" i="7"/>
</calcChain>
</file>

<file path=xl/sharedStrings.xml><?xml version="1.0" encoding="utf-8"?>
<sst xmlns="http://schemas.openxmlformats.org/spreadsheetml/2006/main" count="13154" uniqueCount="5450">
  <si>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</si>
  <si>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</si>
  <si>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</si>
  <si>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</si>
  <si>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</si>
  <si>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</si>
  <si>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</si>
  <si>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</si>
  <si>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</si>
  <si>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</si>
  <si>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</si>
  <si>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</si>
  <si>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</si>
  <si>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</si>
  <si>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</si>
  <si>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</si>
  <si>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</si>
  <si>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</si>
  <si>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</si>
  <si>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</si>
  <si>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</si>
  <si>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</si>
  <si>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</si>
  <si>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</si>
  <si>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</si>
  <si>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</si>
  <si>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</si>
  <si>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</si>
  <si>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</si>
  <si>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</si>
  <si>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</si>
  <si>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</si>
  <si>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</si>
  <si>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</si>
  <si>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</si>
  <si>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</si>
  <si>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</si>
  <si>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</si>
  <si>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</si>
  <si>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</si>
  <si>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</si>
  <si>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</si>
  <si>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</si>
  <si>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</si>
  <si>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</si>
  <si>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</si>
  <si>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</si>
  <si>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</si>
  <si>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</si>
  <si>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</si>
  <si>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</si>
  <si>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</si>
  <si>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</si>
  <si>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</si>
  <si>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</si>
  <si>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</si>
  <si>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</si>
  <si>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</si>
  <si>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</si>
  <si>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</si>
  <si>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</si>
  <si>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</si>
  <si>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</si>
  <si>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</si>
  <si>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</si>
  <si>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</si>
  <si>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</si>
  <si>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</si>
  <si>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</si>
  <si>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</si>
  <si>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</si>
  <si>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</si>
  <si>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</si>
  <si>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</si>
  <si>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</si>
  <si>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</si>
  <si>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</si>
  <si>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</si>
  <si>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</si>
  <si>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</si>
  <si>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</si>
  <si>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</si>
  <si>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</si>
  <si>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</si>
  <si>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</si>
  <si>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</si>
  <si>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</si>
  <si>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</si>
  <si>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</si>
  <si>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</si>
  <si>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</si>
  <si>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</si>
  <si>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</si>
  <si>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</si>
  <si>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</si>
  <si>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</si>
  <si>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</si>
  <si>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</si>
  <si>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</si>
  <si>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</si>
  <si>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</si>
  <si>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</si>
  <si>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</si>
  <si>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</si>
  <si>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</si>
  <si>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</si>
  <si>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</si>
  <si>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</si>
  <si>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</si>
  <si>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</si>
  <si>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</si>
  <si>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</si>
  <si>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</si>
  <si>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</si>
  <si>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</si>
  <si>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</si>
  <si>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</si>
  <si>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</si>
  <si>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</si>
  <si>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</si>
  <si>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</si>
  <si>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</si>
  <si>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</si>
  <si>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</si>
  <si>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</si>
  <si>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</si>
  <si>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</si>
  <si>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</si>
  <si>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</si>
  <si>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</si>
  <si>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</si>
  <si>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</si>
  <si>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</si>
  <si>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</si>
  <si>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</si>
  <si>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</si>
  <si>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</si>
  <si>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</si>
  <si>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</si>
  <si>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</si>
  <si>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</si>
  <si>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</si>
  <si>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</si>
  <si>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</si>
  <si>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</si>
  <si>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</si>
  <si>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</si>
  <si>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</si>
  <si>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</si>
  <si>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</si>
  <si>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</si>
  <si>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</si>
  <si>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</si>
  <si>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</si>
  <si>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</si>
  <si>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</si>
  <si>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</si>
  <si>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</si>
  <si>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</si>
  <si>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</si>
  <si>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</si>
  <si>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</si>
  <si>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</si>
  <si>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</si>
  <si>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</si>
  <si>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</si>
  <si>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</si>
  <si>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</si>
  <si>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</si>
  <si>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</si>
  <si>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</si>
  <si>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</si>
  <si>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</si>
  <si>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</si>
  <si>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</si>
  <si>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</si>
  <si>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</si>
  <si>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</si>
  <si>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</si>
  <si>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</si>
  <si>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</si>
  <si>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</si>
  <si>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</si>
  <si>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</si>
  <si>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</si>
  <si>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</si>
  <si>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</si>
  <si>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</si>
  <si>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</si>
  <si>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</si>
  <si>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</si>
  <si>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</si>
  <si>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</si>
  <si>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</si>
  <si>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</si>
  <si>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</si>
  <si>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</si>
  <si>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</si>
  <si>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</si>
  <si>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</si>
  <si>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</si>
  <si>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</si>
  <si>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</si>
  <si>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</si>
  <si>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</si>
  <si>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</si>
  <si>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</si>
  <si>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</si>
  <si>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</si>
  <si>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</si>
  <si>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</si>
  <si>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</si>
  <si>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</si>
  <si>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</si>
  <si>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</si>
  <si>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</si>
  <si>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</si>
  <si>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</si>
  <si>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</si>
  <si>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</si>
  <si>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</si>
  <si>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</si>
  <si>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</si>
  <si>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</si>
  <si>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</si>
  <si>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</si>
  <si>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</si>
  <si>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</si>
  <si>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</si>
  <si>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</si>
  <si>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</si>
  <si>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</si>
  <si>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</si>
  <si>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</si>
  <si>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</si>
  <si>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</si>
  <si>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</si>
  <si>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</si>
  <si>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</si>
  <si>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</si>
  <si>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</si>
  <si>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</si>
  <si>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</si>
  <si>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</si>
  <si>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</si>
  <si>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</si>
  <si>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</si>
  <si>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</si>
  <si>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</si>
  <si>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</si>
  <si>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</si>
  <si>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</si>
  <si>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</si>
  <si>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</si>
  <si>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</si>
  <si>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</si>
  <si>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</si>
  <si>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</si>
  <si>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</si>
  <si>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</si>
  <si>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</si>
  <si>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</si>
  <si>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</si>
  <si>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</si>
  <si>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</si>
  <si>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</si>
  <si>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</si>
  <si>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</si>
  <si>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</si>
  <si>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</si>
  <si>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</si>
  <si>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</si>
  <si>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</si>
  <si>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</si>
  <si>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</si>
  <si>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</si>
  <si>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</si>
  <si>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</si>
  <si>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</si>
  <si>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</si>
  <si>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</si>
  <si>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</si>
  <si>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</si>
  <si>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</si>
  <si>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</si>
  <si>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</si>
  <si>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</si>
  <si>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</si>
  <si>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</si>
  <si>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</si>
  <si>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</si>
  <si>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</si>
  <si>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</si>
  <si>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</si>
  <si>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</si>
  <si>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</si>
  <si>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</si>
  <si>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</si>
  <si>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</si>
  <si>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</si>
  <si>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</si>
  <si>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</si>
  <si>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</si>
  <si>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</si>
  <si>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</si>
  <si>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</si>
  <si>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</si>
  <si>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</si>
  <si>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</si>
  <si>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</si>
  <si>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</si>
  <si>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</si>
  <si>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</si>
  <si>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</si>
  <si>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</si>
  <si>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</si>
  <si>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</si>
  <si>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</si>
  <si>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</si>
  <si>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</si>
  <si>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</si>
  <si>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</si>
  <si>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</si>
  <si>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</si>
  <si>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</si>
  <si>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</si>
  <si>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</si>
  <si>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</si>
  <si>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</si>
  <si>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</si>
  <si>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</si>
  <si>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</si>
  <si>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</si>
  <si>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</si>
  <si>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</si>
  <si>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</si>
  <si>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</si>
  <si>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</si>
  <si>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</si>
  <si>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</si>
  <si>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</si>
  <si>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</si>
  <si>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</si>
  <si>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</si>
  <si>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</si>
  <si>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</si>
  <si>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</si>
  <si>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</si>
  <si>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</si>
  <si>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</si>
  <si>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</si>
  <si>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</si>
  <si>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</si>
  <si>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</si>
  <si>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</si>
  <si>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</si>
  <si>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</si>
  <si>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</si>
  <si>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</si>
  <si>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</si>
  <si>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</si>
  <si>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</si>
  <si>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</si>
  <si>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</si>
  <si>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</si>
  <si>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</si>
  <si>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</si>
  <si>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</si>
  <si>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</si>
  <si>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</si>
  <si>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</si>
  <si>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</si>
  <si>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</si>
  <si>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</si>
  <si>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</si>
  <si>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</si>
  <si>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</si>
  <si>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</si>
  <si>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</si>
  <si>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</si>
  <si>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</si>
  <si>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</si>
  <si>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</si>
  <si>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</si>
  <si>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</si>
  <si>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</si>
  <si>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</si>
  <si>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</si>
  <si>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</si>
  <si>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</si>
  <si>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</si>
  <si>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</si>
  <si>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</si>
  <si>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</si>
  <si>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</si>
  <si>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</si>
  <si>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</si>
  <si>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</si>
  <si>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</si>
  <si>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</si>
  <si>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</si>
  <si>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</si>
  <si>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</si>
  <si>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</si>
  <si>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</si>
  <si>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</si>
  <si>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</si>
  <si>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</si>
  <si>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</si>
  <si>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</si>
  <si>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</si>
  <si>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</si>
  <si>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</si>
  <si>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</si>
  <si>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</si>
  <si>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</si>
  <si>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</si>
  <si>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</si>
  <si>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</si>
  <si>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</si>
  <si>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</si>
  <si>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</si>
  <si>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</si>
  <si>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</si>
  <si>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</si>
  <si>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</si>
  <si>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</si>
  <si>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</si>
  <si>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</si>
  <si>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</si>
  <si>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</si>
  <si>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</si>
  <si>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</si>
  <si>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</si>
  <si>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</si>
  <si>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</si>
  <si>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</si>
  <si>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</si>
  <si>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</si>
  <si>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</si>
  <si>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</si>
  <si>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</si>
  <si>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</si>
  <si>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</si>
  <si>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</si>
  <si>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</si>
  <si>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</si>
  <si>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</si>
  <si>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</si>
  <si>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</si>
  <si>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</si>
  <si>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</si>
  <si>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</si>
  <si>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</si>
  <si>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</si>
  <si>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</si>
  <si>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</si>
  <si>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</si>
  <si>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</si>
  <si>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</si>
  <si>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</si>
  <si>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</si>
  <si>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</si>
  <si>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</si>
  <si>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</si>
  <si>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</si>
  <si>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</si>
  <si>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</si>
  <si>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</si>
  <si>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</si>
  <si>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</si>
  <si>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</si>
  <si>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</si>
  <si>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</si>
  <si>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</si>
  <si>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</si>
  <si>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</si>
  <si>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</si>
  <si>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</si>
  <si>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</si>
  <si>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</si>
  <si>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</si>
  <si>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</si>
  <si>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</si>
  <si>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</si>
  <si>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</si>
  <si>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</si>
  <si>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</si>
  <si>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</si>
  <si>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</si>
  <si>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</si>
  <si>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</si>
  <si>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</si>
  <si>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</si>
  <si>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</si>
  <si>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</si>
  <si>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</si>
  <si>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</si>
  <si>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</si>
  <si>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</si>
  <si>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</si>
  <si>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</si>
  <si>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</si>
  <si>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</si>
  <si>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</si>
  <si>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</si>
  <si>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</si>
  <si>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</si>
  <si>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</si>
  <si>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</si>
  <si>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</si>
  <si>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</si>
  <si>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</si>
  <si>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</si>
  <si>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</si>
  <si>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</si>
  <si>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</si>
  <si>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</si>
  <si>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</si>
  <si>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</si>
  <si>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</si>
  <si>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</si>
  <si>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</si>
  <si>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</si>
  <si>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</si>
  <si>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</si>
  <si>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</si>
  <si>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</si>
  <si>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</si>
  <si>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</si>
  <si>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</si>
  <si>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</si>
  <si>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</si>
  <si>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</si>
  <si>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</si>
  <si>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</si>
  <si>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</si>
  <si>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</si>
  <si>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</si>
  <si>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</si>
  <si>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</si>
  <si>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</si>
  <si>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</si>
  <si>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</si>
  <si>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</si>
  <si>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</si>
  <si>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</si>
  <si>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</si>
  <si>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</si>
  <si>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</si>
  <si>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</si>
  <si>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</si>
  <si>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</si>
  <si>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</si>
  <si>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</si>
  <si>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</si>
  <si>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</si>
  <si>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</si>
  <si>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</si>
  <si>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</si>
  <si>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</si>
  <si>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</si>
  <si>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</si>
  <si>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</si>
  <si>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</si>
  <si>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</si>
  <si>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</si>
  <si>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</si>
  <si>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</si>
  <si>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</si>
  <si>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</si>
  <si>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</si>
  <si>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</si>
  <si>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</si>
  <si>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</si>
  <si>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</si>
  <si>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</si>
  <si>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</si>
  <si>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</si>
  <si>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</si>
  <si>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</si>
  <si>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</si>
  <si>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</si>
  <si>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</si>
  <si>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</si>
  <si>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</si>
  <si>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</si>
  <si>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</si>
  <si>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</si>
  <si>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</si>
  <si>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</si>
  <si>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</si>
  <si>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</si>
  <si>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</si>
  <si>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</si>
  <si>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</si>
  <si>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</si>
  <si>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</si>
  <si>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</si>
  <si>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</si>
  <si>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</si>
  <si>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</si>
  <si>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</si>
  <si>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</si>
  <si>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</si>
  <si>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</si>
  <si>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</si>
  <si>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</si>
  <si>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</si>
  <si>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</si>
  <si>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</si>
  <si>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</si>
  <si>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</si>
  <si>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</si>
  <si>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</si>
  <si>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</si>
  <si>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</si>
  <si>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</si>
  <si>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</si>
  <si>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</si>
  <si>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</si>
  <si>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</si>
  <si>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</si>
  <si>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</si>
  <si>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</si>
  <si>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</si>
  <si>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</si>
  <si>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</si>
  <si>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</si>
  <si>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</si>
  <si>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</si>
  <si>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</si>
  <si>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</si>
  <si>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</si>
  <si>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</si>
  <si>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</si>
  <si>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</si>
  <si>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</si>
  <si>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</si>
  <si>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</si>
  <si>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</si>
  <si>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</si>
  <si>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</si>
  <si>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</si>
  <si>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</si>
  <si>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</si>
  <si>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</si>
  <si>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</si>
  <si>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</si>
  <si>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</si>
  <si>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</si>
  <si>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</si>
  <si>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</si>
  <si>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</si>
  <si>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</si>
  <si>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</si>
  <si>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</si>
  <si>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</si>
  <si>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</si>
  <si>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</si>
  <si>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</si>
  <si>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</si>
  <si>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</si>
  <si>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</si>
  <si>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</si>
  <si>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</si>
  <si>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</si>
  <si>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</si>
  <si>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</si>
  <si>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</si>
  <si>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</si>
  <si>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</si>
  <si>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</si>
  <si>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</si>
  <si>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</si>
  <si>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</si>
  <si>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</si>
  <si>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</si>
  <si>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</si>
  <si>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</si>
  <si>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</si>
  <si>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</si>
  <si>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</si>
  <si>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</si>
  <si>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</si>
  <si>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</si>
  <si>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</si>
  <si>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</si>
  <si>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</si>
  <si>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</si>
  <si>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</si>
  <si>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</si>
  <si>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</si>
  <si>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</si>
  <si>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</si>
  <si>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</si>
  <si>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</si>
  <si>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</si>
  <si>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</si>
  <si>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</si>
  <si>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</si>
  <si>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</si>
  <si>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</si>
  <si>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</si>
  <si>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</si>
  <si>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</si>
  <si>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</si>
  <si>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</si>
  <si>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</si>
  <si>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</si>
  <si>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</si>
  <si>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</si>
  <si>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</si>
  <si>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</si>
  <si>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</si>
  <si>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</si>
  <si>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</si>
  <si>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</si>
  <si>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</si>
  <si>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</si>
  <si>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</si>
  <si>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</si>
  <si>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</si>
  <si>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</si>
  <si>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</si>
  <si>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</si>
  <si>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</si>
  <si>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</si>
  <si>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</si>
  <si>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</si>
  <si>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</si>
  <si>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</si>
  <si>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</si>
  <si>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</si>
  <si>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</si>
  <si>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</si>
  <si>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</si>
  <si>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</si>
  <si>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</si>
  <si>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</si>
  <si>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</si>
  <si>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</si>
  <si>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</si>
  <si>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</si>
  <si>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</si>
  <si>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</si>
  <si>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</si>
  <si>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</si>
  <si>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</si>
  <si>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</si>
  <si>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</si>
  <si>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</si>
  <si>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</si>
  <si>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</si>
  <si>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</si>
  <si>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</si>
  <si>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</si>
  <si>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</si>
  <si>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</si>
  <si>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</si>
  <si>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</si>
  <si>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</si>
  <si>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</si>
  <si>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</si>
  <si>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</si>
  <si>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</si>
  <si>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</si>
  <si>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</si>
  <si>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</si>
  <si>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</si>
  <si>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</si>
  <si>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</si>
  <si>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</si>
  <si>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</si>
  <si>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</si>
  <si>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</si>
  <si>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</si>
  <si>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</si>
  <si>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</si>
  <si>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</si>
  <si>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</si>
  <si>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</si>
  <si>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</si>
  <si>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</si>
  <si>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</si>
  <si>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</si>
  <si>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</si>
  <si>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</si>
  <si>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</si>
  <si>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</si>
  <si>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</si>
  <si>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</si>
  <si>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</si>
  <si>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</si>
  <si>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</si>
  <si>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</si>
  <si>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</si>
  <si>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</si>
  <si>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</si>
  <si>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</si>
  <si>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</si>
  <si>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</si>
  <si>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</si>
  <si>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</si>
  <si>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</si>
  <si>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</si>
  <si>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</si>
  <si>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</si>
  <si>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</si>
  <si>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</si>
  <si>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</si>
  <si>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</si>
  <si>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</si>
  <si>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</si>
  <si>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</si>
  <si>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</si>
  <si>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</si>
  <si>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</si>
  <si>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</si>
  <si>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</si>
  <si>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</si>
  <si>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</si>
  <si>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</si>
  <si>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</si>
  <si>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</si>
  <si>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</si>
  <si>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</si>
  <si>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</si>
  <si>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</si>
  <si>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</si>
  <si>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</si>
  <si>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</si>
  <si>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</si>
  <si>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</si>
  <si>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</si>
  <si>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</si>
  <si>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</si>
  <si>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</si>
  <si>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</si>
  <si>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</si>
  <si>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</si>
  <si>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</si>
  <si>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</si>
  <si>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</si>
  <si>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</si>
  <si>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</si>
  <si>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</si>
  <si>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</si>
  <si>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</si>
  <si>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</si>
  <si>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</si>
  <si>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</si>
  <si>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</si>
  <si>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</si>
  <si>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</si>
  <si>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</si>
  <si>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</si>
  <si>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</si>
  <si>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</si>
  <si>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</si>
  <si>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</si>
  <si>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</si>
  <si>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</si>
  <si>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</si>
  <si>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</si>
  <si>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</si>
  <si>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</si>
  <si>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</si>
  <si>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</si>
  <si>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</si>
  <si>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</si>
  <si>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</si>
  <si>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</si>
  <si>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</si>
  <si>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</si>
  <si>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</si>
  <si>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</si>
  <si>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</si>
  <si>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</si>
  <si>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</si>
  <si>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</si>
  <si>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</si>
  <si>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</si>
  <si>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</si>
  <si>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</si>
  <si>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</si>
  <si>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</si>
  <si>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</si>
  <si>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</si>
  <si>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</si>
  <si>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</si>
  <si>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</si>
  <si>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</si>
  <si>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</si>
  <si>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</si>
  <si>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</si>
  <si>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</si>
  <si>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</si>
  <si>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</si>
  <si>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</si>
  <si>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</si>
  <si>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</si>
  <si>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</si>
  <si>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</si>
  <si>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</si>
  <si>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</si>
  <si>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</si>
  <si>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</si>
  <si>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</si>
  <si>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</si>
  <si>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</si>
  <si>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</si>
  <si>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</si>
  <si>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</si>
  <si>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</si>
  <si>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</si>
  <si>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</si>
  <si>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</si>
  <si>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</si>
  <si>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</si>
  <si>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</si>
  <si>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</si>
  <si>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</si>
  <si>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</si>
  <si>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</si>
  <si>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</si>
  <si>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</si>
  <si>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</si>
  <si>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</si>
  <si>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</si>
  <si>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</si>
  <si>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</si>
  <si>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</si>
  <si>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</si>
  <si>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</si>
  <si>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</si>
  <si>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</si>
  <si>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</si>
  <si>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</si>
  <si>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</si>
  <si>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</si>
  <si>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</si>
  <si>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</si>
  <si>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</si>
  <si>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</si>
  <si>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</si>
  <si>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</si>
  <si>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</si>
  <si>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</si>
  <si>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</si>
  <si>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</si>
  <si>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</si>
  <si>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</si>
  <si>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</si>
  <si>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</si>
  <si>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</si>
  <si>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</si>
  <si>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</si>
  <si>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</si>
  <si>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</si>
  <si>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</si>
  <si>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</si>
  <si>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</si>
  <si>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</si>
  <si>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</si>
  <si>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</si>
  <si>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</si>
  <si>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</si>
  <si>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</si>
  <si>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</si>
  <si>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</si>
  <si>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</si>
  <si>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</si>
  <si>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</si>
  <si>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</si>
  <si>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</si>
  <si>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</si>
  <si>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</si>
  <si>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</si>
  <si>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</si>
  <si>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</si>
  <si>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</si>
  <si>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</si>
  <si>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</si>
  <si>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</si>
  <si>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</si>
  <si>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</si>
  <si>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</si>
  <si>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</si>
  <si>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</si>
  <si>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</si>
  <si>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</si>
  <si>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</si>
  <si>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</si>
  <si>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</si>
  <si>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</si>
  <si>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</si>
  <si>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</si>
  <si>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</si>
  <si>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</si>
  <si>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</si>
  <si>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</si>
  <si>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</si>
  <si>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</si>
  <si>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</si>
  <si>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</si>
  <si>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</si>
  <si>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</si>
  <si>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</si>
  <si>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</si>
  <si>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</si>
  <si>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</si>
  <si>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</si>
  <si>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</si>
  <si>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</si>
  <si>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</si>
  <si>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</si>
  <si>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</si>
  <si>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</si>
  <si>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</si>
  <si>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</si>
  <si>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</si>
  <si>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</si>
  <si>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</si>
  <si>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</si>
  <si>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</si>
  <si>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</si>
  <si>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</si>
  <si>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</si>
  <si>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</si>
  <si>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</si>
  <si>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</si>
  <si>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</si>
  <si>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</si>
  <si>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</si>
  <si>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</si>
  <si>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</si>
  <si>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</si>
  <si>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</si>
  <si>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</si>
  <si>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</si>
  <si>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</si>
  <si>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</si>
  <si>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</si>
  <si>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</si>
  <si>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</si>
  <si>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</si>
  <si>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</si>
  <si>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</si>
  <si>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</si>
  <si>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</si>
  <si>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</si>
  <si>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</si>
  <si>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</si>
  <si>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</si>
  <si>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</si>
  <si>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</si>
  <si>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</si>
  <si>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</si>
  <si>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</si>
  <si>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</si>
  <si>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</si>
  <si>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</si>
  <si>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</si>
  <si>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</si>
  <si>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</si>
  <si>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</si>
  <si>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</si>
  <si>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</si>
  <si>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</si>
  <si>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</si>
  <si>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</si>
  <si>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</si>
  <si>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</si>
  <si>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</si>
  <si>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</si>
  <si>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</si>
  <si>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</si>
  <si>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</si>
  <si>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</si>
  <si>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</si>
  <si>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</si>
  <si>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</si>
  <si>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</si>
  <si>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</si>
  <si>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</si>
  <si>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</si>
  <si>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</si>
  <si>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</si>
  <si>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</si>
  <si>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</si>
  <si>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</si>
  <si>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</si>
  <si>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</si>
  <si>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</si>
  <si>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</si>
  <si>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</si>
  <si>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</si>
  <si>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</si>
  <si>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</si>
  <si>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</si>
  <si>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</si>
  <si>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</si>
  <si>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</si>
  <si>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</si>
  <si>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</si>
  <si>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</si>
  <si>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</si>
  <si>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</si>
  <si>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</si>
  <si>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</si>
  <si>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</si>
  <si>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</si>
  <si>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</si>
  <si>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</si>
  <si>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</si>
  <si>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</si>
  <si>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</si>
  <si>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</si>
  <si>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</si>
  <si>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</si>
  <si>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</si>
  <si>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</si>
  <si>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</si>
  <si>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</si>
  <si>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</si>
  <si>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</si>
  <si>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</si>
  <si>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</si>
  <si>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</si>
  <si>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</si>
  <si>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</si>
  <si>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</si>
  <si>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</si>
  <si>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</si>
  <si>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</si>
  <si>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</si>
  <si>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</si>
  <si>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</si>
  <si>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</si>
  <si>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</si>
  <si>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</si>
  <si>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</si>
  <si>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</si>
  <si>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</si>
  <si>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</si>
  <si>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</si>
  <si>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</si>
  <si>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</si>
  <si>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</si>
  <si>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</si>
  <si>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</si>
  <si>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</si>
  <si>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</si>
  <si>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</si>
  <si>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</si>
  <si>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</si>
  <si>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</si>
  <si>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</si>
  <si>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</si>
  <si>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</si>
  <si>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</si>
  <si>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</si>
  <si>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</si>
  <si>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</si>
  <si>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</si>
  <si>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</si>
  <si>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</si>
  <si>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</si>
  <si>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</si>
  <si>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</si>
  <si>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</si>
  <si>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</si>
  <si>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</si>
  <si>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</si>
  <si>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</si>
  <si>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</si>
  <si>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</si>
  <si>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</si>
  <si>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</si>
  <si>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</si>
  <si>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</si>
  <si>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</si>
  <si>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</si>
  <si>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</si>
  <si>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</si>
  <si>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</si>
  <si>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</si>
  <si>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</si>
  <si>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</si>
  <si>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</si>
  <si>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</si>
  <si>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</si>
  <si>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</si>
  <si>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</si>
  <si>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</si>
  <si>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</si>
  <si>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</si>
  <si>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</si>
  <si>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</si>
  <si>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</si>
  <si>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</si>
  <si>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</si>
  <si>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</si>
  <si>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</si>
  <si>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</si>
  <si>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</si>
  <si>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</si>
  <si>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</si>
  <si>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</si>
  <si>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</si>
  <si>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</si>
  <si>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</si>
  <si>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</si>
  <si>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</si>
  <si>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</si>
  <si>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</si>
  <si>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</si>
  <si>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</si>
  <si>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</si>
  <si>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</si>
  <si>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</si>
  <si>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</si>
  <si>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</si>
  <si>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</si>
  <si>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</si>
  <si>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</si>
  <si>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</si>
  <si>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</si>
  <si>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</si>
  <si>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</si>
  <si>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</si>
  <si>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</si>
  <si>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</si>
  <si>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</si>
  <si>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</si>
  <si>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</si>
  <si>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</si>
  <si>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</si>
  <si>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</si>
  <si>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</si>
  <si>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</si>
  <si>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</si>
  <si>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</si>
  <si>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</si>
  <si>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</si>
  <si>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</si>
  <si>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</si>
  <si>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</si>
  <si>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</si>
  <si>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</si>
  <si>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</si>
  <si>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</si>
  <si>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</si>
  <si>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</si>
  <si>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</si>
  <si>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</si>
  <si>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</si>
  <si>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</si>
  <si>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</si>
  <si>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</si>
  <si>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</si>
  <si>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</si>
  <si>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</si>
  <si>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</si>
  <si>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</si>
  <si>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</si>
  <si>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</si>
  <si>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</si>
  <si>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</si>
  <si>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</si>
  <si>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</si>
  <si>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</si>
  <si>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</si>
  <si>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</si>
  <si>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</si>
  <si>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</si>
  <si>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</si>
  <si>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</si>
  <si>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</si>
  <si>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</si>
  <si>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</si>
  <si>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</si>
  <si>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</si>
  <si>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</si>
  <si>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</si>
  <si>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</si>
  <si>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</si>
  <si>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</si>
  <si>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</si>
  <si>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</si>
  <si>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</si>
  <si>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</si>
  <si>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</si>
  <si>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</si>
  <si>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</si>
  <si>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</si>
  <si>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</si>
  <si>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</si>
  <si>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</si>
  <si>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</si>
  <si>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</si>
  <si>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</si>
  <si>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</si>
  <si>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</si>
  <si>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</si>
  <si>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</si>
  <si>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</si>
  <si>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</si>
  <si>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</si>
  <si>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</si>
  <si>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</si>
  <si>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</si>
  <si>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</si>
  <si>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</si>
  <si>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</si>
  <si>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</si>
  <si>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</si>
  <si>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</si>
  <si>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</si>
  <si>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</si>
  <si>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</si>
  <si>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</si>
  <si>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</si>
  <si>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</si>
  <si>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</si>
  <si>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</si>
  <si>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</si>
  <si>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</si>
  <si>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</si>
  <si>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</si>
  <si>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</si>
  <si>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</si>
  <si>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</si>
  <si>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</si>
  <si>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</si>
  <si>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</si>
  <si>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</si>
  <si>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</si>
  <si>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</si>
  <si>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</si>
  <si>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</si>
  <si>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</si>
  <si>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</si>
  <si>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</si>
  <si>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</si>
  <si>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</si>
  <si>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</si>
  <si>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</si>
  <si>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</si>
  <si>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</si>
  <si>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</si>
  <si>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</si>
  <si>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</si>
  <si>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</si>
  <si>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</si>
  <si>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</si>
  <si>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</si>
  <si>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</si>
  <si>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</si>
  <si>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</si>
  <si>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</si>
  <si>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</si>
  <si>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</si>
  <si>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</si>
  <si>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</si>
  <si>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</si>
  <si>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</si>
  <si>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</si>
  <si>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</si>
  <si>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</si>
  <si>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</si>
  <si>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</si>
  <si>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</si>
  <si>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</si>
  <si>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</si>
  <si>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</si>
  <si>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</si>
  <si>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</si>
  <si>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</si>
  <si>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</si>
  <si>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</si>
  <si>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</si>
  <si>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</si>
  <si>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</si>
  <si>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</si>
  <si>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</si>
  <si>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</si>
  <si>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</si>
  <si>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</si>
  <si>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</si>
  <si>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</si>
  <si>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</si>
  <si>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</si>
  <si>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</si>
  <si>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</si>
  <si>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</si>
  <si>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</si>
  <si>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</si>
  <si>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</si>
  <si>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</si>
  <si>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</si>
  <si>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</si>
  <si>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</si>
  <si>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</si>
  <si>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</si>
  <si>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</si>
  <si>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</si>
  <si>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</si>
  <si>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</si>
  <si>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</si>
  <si>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</si>
  <si>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</si>
  <si>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</si>
  <si>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</si>
  <si>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</si>
  <si>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</si>
  <si>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</si>
  <si>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</si>
  <si>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</si>
  <si>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</si>
  <si>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</si>
  <si>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</si>
  <si>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</si>
  <si>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</si>
  <si>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</si>
  <si>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</si>
  <si>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</si>
  <si>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</si>
  <si>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</si>
  <si>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</si>
  <si>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</si>
  <si>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</si>
  <si>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</si>
  <si>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</si>
  <si>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</si>
  <si>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</si>
  <si>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</si>
  <si>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</si>
  <si>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</si>
  <si>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</si>
  <si>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</si>
  <si>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</si>
  <si>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</si>
  <si>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</si>
  <si>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</si>
  <si>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</si>
  <si>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</si>
  <si>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</si>
  <si>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</si>
  <si>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</si>
  <si>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</si>
  <si>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</si>
  <si>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</si>
  <si>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</si>
  <si>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</si>
  <si>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</si>
  <si>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</si>
  <si>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</si>
  <si>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</si>
  <si>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</si>
  <si>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</si>
  <si>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</si>
  <si>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</si>
  <si>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</si>
  <si>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</si>
  <si>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</si>
  <si>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</si>
  <si>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</si>
  <si>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</si>
  <si>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</si>
  <si>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</si>
  <si>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</si>
  <si>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</si>
  <si>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</si>
  <si>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</si>
  <si>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</si>
  <si>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</si>
  <si>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</si>
  <si>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</si>
  <si>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</si>
  <si>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</si>
  <si>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</si>
  <si>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</si>
  <si>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</si>
  <si>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</si>
  <si>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</si>
  <si>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</si>
  <si>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</si>
  <si>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</si>
  <si>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</si>
  <si>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</si>
  <si>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</si>
  <si>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</si>
  <si>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</si>
  <si>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</si>
  <si>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</si>
  <si>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</si>
  <si>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</si>
  <si>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</si>
  <si>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</si>
  <si>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</si>
  <si>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</si>
  <si>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</si>
  <si>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</si>
  <si>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</si>
  <si>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</si>
  <si>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</si>
  <si>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</si>
  <si>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</si>
  <si>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</si>
  <si>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</si>
  <si>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</si>
  <si>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</si>
  <si>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</si>
  <si>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</si>
  <si>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</si>
  <si>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</si>
  <si>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</si>
  <si>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</si>
  <si>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</si>
  <si>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</si>
  <si>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</si>
  <si>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</si>
  <si>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</si>
  <si>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</si>
  <si>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</si>
  <si>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</si>
  <si>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</si>
  <si>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</si>
  <si>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</si>
  <si>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</si>
  <si>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</si>
  <si>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</si>
  <si>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</si>
  <si>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</si>
  <si>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</si>
  <si>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</si>
  <si>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</si>
  <si>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</si>
  <si>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</si>
  <si>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</si>
  <si>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</si>
  <si>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</si>
  <si>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</si>
  <si>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</si>
  <si>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</si>
  <si>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</si>
  <si>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</si>
  <si>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</si>
  <si>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</si>
  <si>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</si>
  <si>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</si>
  <si>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</si>
  <si>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</si>
  <si>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</si>
  <si>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</si>
  <si>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</si>
  <si>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</si>
  <si>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</si>
  <si>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</si>
  <si>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</si>
  <si>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</si>
  <si>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</si>
  <si>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</si>
  <si>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</si>
  <si>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</si>
  <si>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</si>
  <si>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</si>
  <si>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</si>
  <si>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</si>
  <si>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</si>
  <si>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</si>
  <si>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</si>
  <si>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</si>
  <si>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</si>
  <si>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</si>
  <si>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</si>
  <si>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</si>
  <si>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</si>
  <si>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</si>
  <si>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</si>
  <si>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</si>
  <si>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</si>
  <si>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</si>
  <si>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</si>
  <si>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</si>
  <si>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</si>
  <si>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</si>
  <si>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</si>
  <si>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</si>
  <si>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</si>
  <si>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</si>
  <si>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</si>
  <si>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</si>
  <si>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</si>
  <si>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</si>
  <si>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</si>
  <si>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</si>
  <si>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</si>
  <si>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</si>
  <si>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</si>
  <si>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</si>
  <si>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</si>
  <si>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</si>
  <si>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</si>
  <si>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</si>
  <si>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</si>
  <si>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</si>
  <si>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</si>
  <si>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</si>
  <si>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</si>
  <si>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</si>
  <si>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</si>
  <si>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</si>
  <si>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</si>
  <si>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</si>
  <si>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</si>
  <si>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</si>
  <si>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</si>
  <si>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</si>
  <si>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</si>
  <si>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</si>
  <si>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</si>
  <si>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</si>
  <si>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</si>
  <si>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</si>
  <si>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</si>
  <si>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</si>
  <si>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</si>
  <si>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</si>
  <si>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</si>
  <si>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</si>
  <si>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</si>
  <si>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</si>
  <si>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</si>
  <si>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</si>
  <si>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</si>
  <si>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</si>
  <si>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</si>
  <si>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</si>
  <si>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</si>
  <si>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</si>
  <si>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</si>
  <si>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</si>
  <si>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</si>
  <si>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</si>
  <si>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</si>
  <si>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</si>
  <si>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</si>
  <si>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</si>
  <si>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</si>
  <si>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</si>
  <si>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</si>
  <si>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</si>
  <si>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</si>
  <si>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</si>
  <si>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</si>
  <si>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</si>
  <si>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</si>
  <si>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</si>
  <si>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</si>
  <si>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</si>
  <si>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</si>
  <si>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</si>
  <si>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</si>
  <si>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</si>
  <si>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</si>
  <si>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</si>
  <si>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</si>
  <si>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</si>
  <si>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</si>
  <si>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</si>
  <si>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</si>
  <si>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</si>
  <si>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</si>
  <si>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</si>
  <si>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</si>
  <si>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</si>
  <si>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</si>
  <si>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</si>
  <si>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</si>
  <si>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</si>
  <si>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</si>
  <si>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</si>
  <si>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</si>
  <si>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</si>
  <si>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</si>
  <si>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</si>
  <si>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</si>
  <si>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</si>
  <si>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</si>
  <si>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</si>
  <si>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</si>
  <si>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</si>
  <si>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</si>
  <si>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</si>
  <si>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</si>
  <si>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</si>
  <si>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</si>
  <si>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</si>
  <si>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</si>
  <si>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</si>
  <si>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</si>
  <si>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</si>
  <si>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</si>
  <si>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</si>
  <si>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</si>
  <si>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</si>
  <si>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</si>
  <si>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</si>
  <si>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</si>
  <si>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</si>
  <si>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</si>
  <si>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</si>
  <si>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</si>
  <si>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</si>
  <si>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</si>
  <si>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</si>
  <si>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</si>
  <si>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</si>
  <si>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</si>
  <si>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</si>
  <si>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</si>
  <si>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</si>
  <si>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</si>
  <si>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</si>
  <si>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</si>
  <si>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</si>
  <si>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</si>
  <si>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</si>
  <si>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</si>
  <si>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</si>
  <si>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</si>
  <si>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</si>
  <si>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</si>
  <si>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</si>
  <si>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</si>
  <si>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</si>
  <si>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</si>
  <si>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</si>
  <si>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</si>
  <si>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</si>
  <si>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</si>
  <si>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</si>
  <si>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</si>
  <si>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</si>
  <si>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</si>
  <si>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</si>
  <si>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</si>
  <si>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</si>
  <si>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</si>
  <si>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</si>
  <si>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</si>
  <si>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</si>
  <si>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</si>
  <si>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</si>
  <si>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</si>
  <si>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</si>
  <si>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</si>
  <si>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</si>
  <si>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</si>
  <si>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</si>
  <si>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</si>
  <si>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</si>
  <si>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</si>
  <si>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</si>
  <si>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</si>
  <si>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</si>
  <si>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</si>
  <si>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</si>
  <si>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</si>
  <si>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</si>
  <si>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</si>
  <si>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</si>
  <si>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</si>
  <si>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</si>
  <si>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</si>
  <si>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</si>
  <si>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</si>
  <si>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</si>
  <si>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</si>
  <si>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</si>
  <si>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</si>
  <si>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</si>
  <si>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</si>
  <si>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</si>
  <si>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</si>
  <si>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</si>
  <si>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</si>
  <si>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</si>
  <si>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</si>
  <si>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</si>
  <si>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</si>
  <si>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</si>
  <si>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</si>
  <si>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</si>
  <si>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</si>
  <si>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</si>
  <si>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</si>
  <si>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</si>
  <si>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</si>
  <si>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</si>
  <si>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</si>
  <si>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</si>
  <si>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</si>
  <si>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</si>
  <si>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</si>
  <si>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</si>
  <si>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</si>
  <si>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</si>
  <si>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</si>
  <si>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</si>
  <si>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</si>
  <si>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</si>
  <si>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</si>
  <si>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</si>
  <si>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</si>
  <si>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</si>
  <si>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</si>
  <si>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</si>
  <si>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</si>
  <si>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</si>
  <si>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</si>
  <si>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</si>
  <si>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</si>
  <si>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</si>
  <si>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</si>
  <si>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</si>
  <si>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</si>
  <si>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</si>
  <si>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</si>
  <si>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</si>
  <si>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</si>
  <si>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</si>
  <si>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</si>
  <si>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</si>
  <si>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</si>
  <si>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</si>
  <si>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</si>
  <si>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</si>
  <si>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</si>
  <si>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</si>
  <si>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</si>
  <si>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</si>
  <si>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</si>
  <si>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</si>
  <si>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</si>
  <si>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</si>
  <si>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</si>
  <si>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</si>
  <si>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</si>
  <si>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</si>
  <si>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</si>
  <si>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</si>
  <si>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</si>
  <si>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</si>
  <si>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</si>
  <si>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</si>
  <si>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</si>
  <si>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</si>
  <si>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</si>
  <si>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</si>
  <si>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</si>
  <si>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</si>
  <si>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</si>
  <si>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</si>
  <si>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</si>
  <si>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</si>
  <si>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</si>
  <si>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</si>
  <si>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</si>
  <si>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</si>
  <si>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</si>
  <si>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</si>
  <si>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</si>
  <si>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</si>
  <si>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</si>
  <si>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</si>
  <si>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</si>
  <si>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</si>
  <si>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</si>
  <si>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</si>
  <si>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</si>
  <si>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</si>
  <si>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</si>
  <si>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</si>
  <si>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</si>
  <si>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</si>
  <si>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</si>
  <si>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</si>
  <si>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</si>
  <si>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</si>
  <si>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</si>
  <si>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</si>
  <si>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</si>
  <si>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</si>
  <si>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</si>
  <si>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</si>
  <si>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</si>
  <si>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</si>
  <si>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</si>
  <si>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</si>
  <si>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</si>
  <si>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</si>
  <si>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</si>
  <si>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</si>
  <si>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</si>
  <si>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</si>
  <si>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</si>
  <si>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</si>
  <si>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</si>
  <si>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</si>
  <si>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</si>
  <si>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</si>
  <si>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</si>
  <si>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</si>
  <si>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</si>
  <si>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</si>
  <si>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</si>
  <si>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</si>
  <si>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</si>
  <si>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</si>
  <si>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</si>
  <si>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</si>
  <si>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</si>
  <si>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</si>
  <si>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</si>
  <si>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</si>
  <si>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</si>
  <si>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</si>
  <si>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</si>
  <si>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</si>
  <si>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</si>
  <si>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</si>
  <si>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</si>
  <si>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</si>
  <si>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</si>
  <si>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</si>
  <si>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</si>
  <si>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</si>
  <si>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</si>
  <si>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</si>
  <si>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</si>
  <si>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</si>
  <si>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</si>
  <si>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</si>
  <si>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</si>
  <si>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</si>
  <si>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</si>
  <si>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</si>
  <si>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</si>
  <si>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</si>
  <si>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</si>
  <si>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</si>
  <si>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</si>
  <si>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</si>
  <si>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</si>
  <si>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</si>
  <si>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</si>
  <si>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</si>
  <si>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</si>
  <si>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</si>
  <si>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</si>
  <si>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</si>
  <si>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</si>
  <si>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</si>
  <si>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</si>
  <si>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</si>
  <si>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</si>
  <si>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</si>
  <si>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</si>
  <si>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</si>
  <si>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</si>
  <si>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</si>
  <si>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</si>
  <si>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</si>
  <si>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</si>
  <si>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</si>
  <si>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</si>
  <si>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</si>
  <si>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</si>
  <si>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</si>
  <si>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</si>
  <si>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</si>
  <si>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</si>
  <si>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</si>
  <si>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</si>
  <si>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</si>
  <si>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</si>
  <si>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</si>
  <si>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</si>
  <si>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</si>
  <si>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</si>
  <si>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</si>
  <si>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</si>
  <si>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</si>
  <si>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</si>
  <si>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</si>
  <si>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</si>
  <si>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</si>
  <si>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</si>
  <si>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</si>
  <si>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</si>
  <si>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</si>
  <si>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</si>
  <si>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</si>
  <si>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</si>
  <si>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</si>
  <si>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</si>
  <si>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</si>
  <si>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</si>
  <si>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</si>
  <si>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</si>
  <si>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</si>
  <si>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</si>
  <si>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</si>
  <si>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</si>
  <si>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</si>
  <si>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</si>
  <si>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</si>
  <si>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</si>
  <si>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</si>
  <si>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</si>
  <si>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</si>
  <si>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</si>
  <si>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</si>
  <si>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</si>
  <si>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</si>
  <si>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</si>
  <si>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</si>
  <si>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</si>
  <si>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</si>
  <si>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</si>
  <si>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</si>
  <si>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</si>
  <si>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</si>
  <si>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</si>
  <si>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</si>
  <si>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</si>
  <si>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</si>
  <si>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</si>
  <si>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</si>
  <si>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</si>
  <si>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</si>
  <si>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</si>
  <si>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</si>
  <si>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</si>
  <si>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</si>
  <si>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</si>
  <si>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</si>
  <si>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</si>
  <si>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</si>
  <si>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</si>
  <si>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</si>
  <si>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</si>
  <si>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</si>
  <si>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</si>
  <si>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</si>
  <si>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</si>
  <si>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</si>
  <si>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</si>
  <si>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</si>
  <si>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</si>
  <si>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</si>
  <si>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</si>
  <si>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</si>
  <si>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</si>
  <si>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</si>
  <si>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</si>
  <si>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</si>
  <si>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</si>
  <si>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</si>
  <si>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</si>
  <si>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</si>
  <si>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</si>
  <si>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</si>
  <si>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</si>
  <si>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</si>
  <si>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</si>
  <si>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</si>
  <si>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</si>
  <si>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</si>
  <si>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</si>
  <si>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</si>
  <si>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</si>
  <si>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</si>
  <si>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</si>
  <si>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</si>
  <si>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</si>
  <si>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</si>
  <si>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</si>
  <si>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</si>
  <si>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</si>
  <si>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</si>
  <si>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</si>
  <si>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</si>
  <si>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</si>
  <si>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</si>
  <si>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</si>
  <si>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</si>
  <si>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</si>
  <si>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</si>
  <si>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</si>
  <si>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</si>
  <si>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</si>
  <si>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</si>
  <si>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</si>
  <si>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</si>
  <si>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</si>
  <si>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</si>
  <si>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</si>
  <si>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</si>
  <si>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</si>
  <si>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</si>
  <si>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</si>
  <si>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</si>
  <si>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</si>
  <si>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</si>
  <si>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</si>
  <si>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</si>
  <si>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</si>
  <si>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</si>
  <si>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</si>
  <si>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</si>
  <si>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</si>
  <si>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</si>
  <si>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</si>
  <si>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</si>
  <si>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</si>
  <si>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</si>
  <si>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</si>
  <si>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</si>
  <si>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</si>
  <si>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</si>
  <si>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</si>
  <si>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</si>
  <si>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</si>
  <si>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</si>
  <si>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</si>
  <si>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</si>
  <si>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</si>
  <si>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</si>
  <si>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</si>
  <si>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</si>
  <si>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</si>
  <si>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</si>
  <si>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</si>
  <si>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</si>
  <si>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</si>
  <si>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</si>
  <si>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</si>
  <si>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</si>
  <si>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</si>
  <si>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</si>
  <si>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</si>
  <si>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</si>
  <si>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</si>
  <si>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</si>
  <si>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</si>
  <si>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</si>
  <si>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</si>
  <si>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</si>
  <si>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</si>
  <si>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</si>
  <si>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</si>
  <si>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</si>
  <si>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</si>
  <si>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</si>
  <si>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</si>
  <si>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</si>
  <si>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</si>
  <si>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</si>
  <si>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</si>
  <si>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</si>
  <si>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</si>
  <si>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</si>
  <si>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</si>
  <si>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</si>
  <si>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</si>
  <si>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</si>
  <si>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</si>
  <si>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</si>
  <si>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</si>
  <si>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</si>
  <si>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</si>
  <si>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</si>
  <si>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</si>
  <si>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</si>
  <si>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</si>
  <si>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</si>
  <si>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</si>
  <si>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</si>
  <si>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</si>
  <si>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</si>
  <si>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</si>
  <si>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</si>
  <si>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</si>
  <si>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</si>
  <si>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</si>
  <si>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</si>
  <si>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</si>
  <si>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</si>
  <si>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</si>
  <si>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</si>
  <si>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</si>
  <si>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</si>
  <si>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</si>
  <si>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</si>
  <si>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</si>
  <si>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</si>
  <si>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</si>
  <si>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</si>
  <si>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</si>
  <si>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</si>
  <si>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</si>
  <si>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</si>
  <si>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</si>
  <si>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</si>
  <si>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</si>
  <si>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</si>
  <si>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</si>
  <si>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</si>
  <si>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</si>
  <si>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</si>
  <si>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</si>
  <si>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</si>
  <si>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</si>
  <si>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</si>
  <si>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</si>
  <si>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</si>
  <si>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</si>
  <si>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</si>
  <si>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</si>
  <si>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</si>
  <si>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</si>
  <si>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</si>
  <si>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</si>
  <si>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</si>
  <si>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</si>
  <si>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</si>
  <si>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</si>
  <si>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</si>
  <si>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</si>
  <si>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</si>
  <si>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</si>
  <si>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</si>
  <si>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</si>
  <si>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</si>
  <si>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</si>
  <si>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</si>
  <si>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</si>
  <si>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</si>
  <si>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</si>
  <si>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</si>
  <si>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</si>
  <si>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</si>
  <si>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</si>
  <si>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</si>
  <si>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</si>
  <si>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</si>
  <si>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</si>
  <si>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</si>
  <si>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</si>
  <si>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</si>
  <si>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</si>
  <si>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</si>
  <si>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</si>
  <si>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</si>
  <si>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</si>
  <si>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</si>
  <si>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</si>
  <si>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</si>
  <si>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</si>
  <si>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</si>
  <si>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</si>
  <si>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</si>
  <si>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</si>
  <si>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</si>
  <si>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</si>
  <si>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</si>
  <si>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</si>
  <si>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</si>
  <si>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</si>
  <si>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</si>
  <si>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</si>
  <si>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</si>
  <si>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</si>
  <si>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</si>
  <si>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</si>
  <si>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</si>
  <si>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</si>
  <si>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</si>
  <si>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</si>
  <si>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</si>
  <si>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</si>
  <si>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</si>
  <si>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</si>
  <si>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</si>
  <si>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</si>
  <si>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</si>
  <si>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</si>
  <si>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</si>
  <si>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</si>
  <si>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</si>
  <si>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</si>
  <si>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</si>
  <si>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</si>
  <si>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</si>
  <si>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</si>
  <si>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</si>
  <si>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</si>
  <si>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</si>
  <si>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</si>
  <si>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</si>
  <si>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</si>
  <si>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</si>
  <si>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</si>
  <si>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</si>
  <si>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</si>
  <si>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</si>
  <si>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</si>
  <si>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</si>
  <si>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</si>
  <si>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</si>
  <si>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</si>
  <si>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</si>
  <si>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</si>
  <si>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</si>
  <si>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</si>
  <si>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</si>
  <si>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</si>
  <si>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</si>
  <si>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</si>
  <si>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</si>
  <si>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</si>
  <si>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</si>
  <si>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</si>
  <si>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</si>
  <si>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</si>
  <si>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</si>
  <si>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</si>
  <si>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</si>
  <si>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</si>
  <si>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</si>
  <si>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</si>
  <si>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</si>
  <si>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</si>
  <si>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</si>
  <si>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</si>
  <si>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</si>
  <si>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</si>
  <si>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</si>
  <si>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</si>
  <si>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</si>
  <si>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</si>
  <si>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</si>
  <si>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</si>
  <si>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</si>
  <si>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</si>
  <si>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</si>
  <si>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</si>
  <si>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</si>
  <si>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</si>
  <si>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</si>
  <si>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</si>
  <si>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</si>
  <si>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</si>
  <si>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</si>
  <si>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</si>
  <si>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</si>
  <si>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</si>
  <si>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</si>
  <si>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</si>
  <si>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</si>
  <si>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</si>
  <si>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</si>
  <si>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</si>
  <si>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</si>
  <si>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</si>
  <si>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</si>
  <si>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</si>
  <si>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</si>
  <si>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</si>
  <si>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</si>
  <si>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</si>
  <si>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</si>
  <si>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</si>
  <si>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</si>
  <si>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</si>
  <si>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</si>
  <si>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</si>
  <si>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</si>
  <si>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</si>
  <si>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</si>
  <si>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</si>
  <si>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</si>
  <si>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</si>
  <si>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</si>
  <si>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</si>
  <si>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</si>
  <si>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</si>
  <si>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</si>
  <si>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</si>
  <si>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</si>
  <si>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</si>
  <si>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</si>
  <si>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</si>
  <si>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</si>
  <si>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</si>
  <si>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</si>
  <si>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</si>
  <si>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</si>
  <si>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</si>
  <si>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</si>
  <si>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</si>
  <si>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</si>
  <si>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</si>
  <si>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</si>
  <si>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</si>
  <si>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</si>
  <si>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</si>
  <si>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</si>
  <si>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</si>
  <si>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</si>
  <si>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</si>
  <si>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</si>
  <si>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</si>
  <si>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</si>
  <si>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</si>
  <si>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</si>
  <si>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</si>
  <si>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</si>
  <si>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</si>
  <si>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</si>
  <si>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</si>
  <si>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</si>
  <si>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</si>
  <si>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</si>
  <si>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</si>
  <si>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</si>
  <si>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</si>
  <si>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</si>
  <si>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</si>
  <si>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</si>
  <si>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</si>
  <si>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</si>
  <si>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</si>
  <si>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</si>
  <si>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</si>
  <si>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</si>
  <si>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</si>
  <si>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</si>
  <si>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</si>
  <si>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</si>
  <si>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</si>
  <si>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</si>
  <si>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</si>
  <si>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</si>
  <si>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</si>
  <si>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</si>
  <si>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</si>
  <si>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</si>
  <si>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</si>
  <si>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</si>
  <si>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</si>
  <si>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</si>
  <si>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</si>
  <si>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</si>
  <si>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</si>
  <si>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</si>
  <si>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</si>
  <si>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</si>
  <si>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</si>
  <si>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</si>
  <si>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</si>
  <si>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</si>
  <si>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</si>
  <si>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</si>
  <si>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</si>
  <si>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</si>
  <si>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</si>
  <si>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</si>
  <si>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</si>
  <si>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</si>
  <si>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</si>
  <si>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</si>
  <si>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</si>
  <si>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</si>
  <si>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</si>
  <si>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</si>
  <si>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</si>
  <si>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</si>
  <si>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</si>
  <si>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</si>
  <si>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</si>
  <si>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</si>
  <si>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</si>
  <si>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</si>
  <si>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</si>
  <si>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</si>
  <si>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</si>
  <si>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</si>
  <si>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</si>
  <si>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</si>
  <si>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</si>
  <si>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</si>
  <si>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</si>
  <si>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</si>
  <si>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</si>
  <si>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</si>
  <si>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</si>
  <si>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</si>
  <si>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</si>
  <si>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</si>
  <si>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</si>
  <si>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</si>
  <si>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</si>
  <si>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</si>
  <si>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</si>
  <si>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</si>
  <si>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</si>
  <si>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</si>
  <si>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</si>
  <si>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</si>
  <si>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</si>
  <si>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</si>
  <si>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</si>
  <si>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</si>
  <si>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</si>
  <si>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</si>
  <si>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</si>
  <si>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</si>
  <si>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</si>
  <si>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</si>
  <si>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</si>
  <si>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</si>
  <si>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</si>
  <si>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</si>
  <si>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</si>
  <si>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</si>
  <si>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</si>
  <si>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</si>
  <si>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</si>
  <si>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</si>
  <si>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</si>
  <si>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</si>
  <si>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</si>
  <si>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</si>
  <si>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</si>
  <si>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</si>
  <si>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</si>
  <si>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</si>
  <si>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</si>
  <si>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</si>
  <si>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</si>
  <si>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</si>
  <si>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</si>
  <si>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</si>
  <si>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</si>
  <si>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</si>
  <si>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</si>
  <si>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</si>
  <si>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</si>
  <si>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</si>
  <si>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</si>
  <si>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</si>
  <si>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</si>
  <si>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</si>
  <si>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</si>
  <si>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</si>
  <si>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</si>
  <si>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</si>
  <si>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</si>
  <si>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</si>
  <si>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</si>
  <si>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</si>
  <si>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</si>
  <si>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</si>
  <si>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</si>
  <si>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</si>
  <si>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</si>
  <si>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</si>
  <si>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</si>
  <si>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</si>
  <si>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</si>
  <si>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</si>
  <si>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</si>
  <si>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</si>
  <si>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</si>
  <si>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</si>
  <si>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</si>
  <si>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</si>
  <si>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</si>
  <si>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</si>
  <si>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</si>
  <si>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</si>
  <si>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</si>
  <si>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</si>
  <si>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</si>
  <si>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</si>
  <si>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</si>
  <si>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</si>
  <si>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</si>
  <si>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</si>
  <si>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</si>
  <si>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</si>
  <si>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</si>
  <si>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</si>
  <si>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</si>
  <si>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</si>
  <si>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</si>
  <si>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</si>
  <si>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</si>
  <si>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</si>
  <si>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</si>
  <si>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</si>
  <si>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</si>
  <si>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</si>
  <si>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</si>
  <si>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</si>
  <si>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</si>
  <si>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</si>
  <si>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</si>
  <si>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</si>
  <si>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</si>
  <si>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</si>
  <si>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</si>
  <si>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</si>
  <si>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</si>
  <si>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</si>
  <si>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</si>
  <si>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</si>
  <si>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</si>
  <si>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</si>
  <si>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</si>
  <si>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</si>
  <si>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</si>
  <si>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</si>
  <si>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</si>
  <si>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</si>
  <si>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</si>
  <si>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</si>
  <si>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</si>
  <si>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</si>
  <si>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</si>
  <si>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</si>
  <si>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</si>
  <si>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</si>
  <si>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</si>
  <si>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</si>
  <si>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</si>
  <si>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</si>
  <si>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</si>
  <si>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</si>
  <si>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</si>
  <si>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</si>
  <si>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</si>
  <si>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</si>
  <si>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</si>
  <si>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</si>
  <si>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</si>
  <si>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</si>
  <si>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</si>
  <si>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</si>
  <si>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</si>
  <si>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</si>
  <si>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</si>
  <si>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</si>
  <si>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</si>
  <si>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</si>
  <si>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</si>
  <si>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</si>
  <si>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</si>
  <si>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</si>
  <si>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</si>
  <si>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</si>
  <si>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</si>
  <si>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</si>
  <si>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</si>
  <si>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</si>
  <si>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</si>
  <si>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</si>
  <si>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</si>
  <si>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</si>
  <si>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</si>
  <si>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</si>
  <si>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</si>
  <si>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</si>
  <si>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</si>
  <si>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</si>
  <si>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</si>
  <si>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</si>
  <si>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</si>
  <si>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</si>
  <si>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</si>
  <si>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</si>
  <si>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</si>
  <si>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</si>
  <si>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</si>
  <si>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</si>
  <si>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</si>
  <si>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</si>
  <si>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</si>
  <si>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</si>
  <si>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</si>
  <si>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</si>
  <si>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</si>
  <si>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</si>
  <si>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</si>
  <si>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</si>
  <si>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</si>
  <si>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</si>
  <si>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</si>
  <si>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</si>
  <si>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</si>
  <si>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</si>
  <si>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</si>
  <si>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</si>
  <si>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</si>
  <si>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</si>
  <si>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</si>
  <si>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</si>
  <si>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</si>
  <si>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</si>
  <si>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</si>
  <si>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</si>
  <si>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</si>
  <si>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</si>
  <si>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</si>
  <si>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</si>
  <si>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</si>
  <si>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</si>
  <si>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</si>
  <si>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</si>
  <si>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</si>
  <si>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</si>
  <si>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</si>
  <si>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</si>
  <si>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</si>
  <si>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</si>
  <si>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</si>
  <si>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</si>
  <si>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</si>
  <si>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</si>
  <si>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</si>
  <si>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</si>
  <si>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</si>
  <si>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</si>
  <si>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</si>
  <si>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</si>
  <si>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</si>
  <si>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</si>
  <si>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</si>
  <si>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</si>
  <si>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</si>
  <si>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</si>
  <si>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</si>
  <si>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</si>
  <si>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</si>
  <si>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</si>
  <si>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</si>
  <si>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</si>
  <si>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</si>
  <si>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</si>
  <si>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</si>
  <si>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</si>
  <si>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</si>
  <si>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</si>
  <si>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</si>
  <si>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</si>
  <si>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</si>
  <si>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</si>
  <si>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</si>
  <si>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</si>
  <si>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</si>
  <si>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</si>
  <si>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</si>
  <si>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</si>
  <si>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</si>
  <si>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</si>
  <si>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</si>
  <si>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</si>
  <si>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</si>
  <si>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</si>
  <si>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</si>
  <si>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</si>
  <si>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</si>
  <si>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</si>
  <si>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</si>
  <si>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</si>
  <si>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</si>
  <si>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</si>
  <si>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</si>
  <si>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</si>
  <si>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</si>
  <si>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</si>
  <si>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</si>
  <si>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</si>
  <si>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</si>
  <si>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</si>
  <si>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</si>
  <si>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</si>
  <si>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</si>
  <si>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</si>
  <si>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</si>
  <si>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</si>
  <si>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</si>
  <si>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</si>
  <si>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</si>
  <si>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</si>
  <si>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</si>
  <si>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</si>
  <si>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</si>
  <si>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</si>
  <si>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</si>
  <si>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</si>
  <si>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</si>
  <si>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</si>
  <si>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</si>
  <si>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</si>
  <si>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</si>
  <si>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</si>
  <si>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</si>
  <si>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</si>
  <si>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</si>
  <si>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</si>
  <si>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</si>
  <si>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</si>
  <si>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</si>
  <si>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</si>
  <si>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</si>
  <si>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</si>
  <si>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</si>
  <si>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</si>
  <si>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</si>
  <si>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</si>
  <si>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</si>
  <si>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</si>
  <si>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</si>
  <si>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</si>
  <si>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</si>
  <si>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</si>
  <si>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</si>
  <si>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</si>
  <si>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</si>
  <si>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</si>
  <si>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</si>
  <si>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</si>
  <si>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</si>
  <si>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</si>
  <si>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</si>
  <si>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</si>
  <si>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</si>
  <si>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</si>
  <si>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</si>
  <si>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</si>
  <si>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</si>
  <si>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</si>
  <si>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</si>
  <si>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</si>
  <si>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</si>
  <si>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</si>
  <si>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</si>
  <si>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</si>
  <si>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</si>
  <si>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</si>
  <si>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</si>
  <si>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</si>
  <si>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</si>
  <si>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</si>
  <si>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</si>
  <si>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</si>
  <si>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</si>
  <si>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</si>
  <si>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</si>
  <si>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</si>
  <si>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</si>
  <si>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</si>
  <si>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</si>
  <si>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</si>
  <si>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</si>
  <si>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</si>
  <si>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</si>
  <si>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</si>
  <si>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</si>
  <si>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</si>
  <si>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</si>
  <si>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</si>
  <si>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</si>
  <si>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</si>
  <si>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</si>
  <si>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</si>
  <si>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</si>
  <si>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</si>
  <si>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</si>
  <si>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</si>
  <si>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</si>
  <si>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</si>
  <si>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</si>
  <si>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</si>
  <si>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</si>
  <si>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</si>
  <si>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</si>
  <si>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</si>
  <si>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</si>
  <si>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</si>
  <si>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</si>
  <si>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</si>
  <si>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</si>
  <si>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</si>
  <si>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</si>
  <si>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</si>
  <si>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</si>
  <si>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</si>
  <si>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</si>
  <si>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</si>
  <si>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</si>
  <si>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</si>
  <si>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</si>
  <si>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</si>
  <si>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</si>
  <si>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</si>
  <si>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</si>
  <si>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</si>
  <si>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</si>
  <si>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</si>
  <si>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</si>
  <si>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</si>
  <si>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</si>
  <si>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</si>
  <si>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</si>
  <si>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</si>
  <si>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</si>
  <si>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</si>
  <si>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</si>
  <si>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</si>
  <si>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</si>
  <si>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</si>
  <si>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</si>
  <si>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</si>
  <si>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</si>
  <si>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</si>
  <si>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</si>
  <si>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</si>
  <si>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</si>
  <si>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</si>
  <si>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</si>
  <si>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</si>
  <si>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</si>
  <si>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</si>
  <si>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</si>
  <si>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</si>
  <si>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</si>
  <si>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</si>
  <si>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</si>
  <si>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</si>
  <si>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</si>
  <si>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</si>
  <si>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</si>
  <si>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</si>
  <si>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</si>
  <si>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</si>
  <si>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</si>
  <si>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</si>
  <si>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</si>
  <si>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</si>
  <si>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</si>
  <si>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</si>
  <si>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</si>
  <si>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</si>
  <si>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</si>
  <si>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</si>
  <si>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</si>
  <si>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</si>
  <si>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</si>
  <si>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</si>
  <si>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</si>
  <si>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</si>
  <si>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</si>
  <si>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</si>
  <si>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</si>
  <si>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</si>
  <si>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</si>
  <si>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</si>
  <si>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</si>
  <si>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</si>
  <si>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</si>
  <si>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</si>
  <si>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</si>
  <si>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</si>
  <si>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</si>
  <si>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</si>
  <si>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</si>
  <si>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</si>
  <si>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</si>
  <si>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</si>
  <si>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</si>
  <si>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</si>
  <si>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</si>
  <si>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</si>
  <si>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</si>
  <si>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</si>
  <si>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</si>
  <si>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</si>
  <si>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</si>
  <si>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</si>
  <si>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</si>
  <si>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</si>
  <si>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</si>
  <si>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</si>
  <si>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</si>
  <si>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</si>
  <si>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</si>
  <si>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</si>
  <si>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</si>
  <si>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</si>
  <si>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</si>
  <si>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</si>
  <si>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</si>
  <si>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</si>
  <si>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</si>
  <si>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</si>
  <si>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</si>
  <si>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</si>
  <si>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</si>
  <si>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</si>
  <si>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</si>
  <si>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</si>
  <si>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</si>
  <si>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</si>
  <si>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</si>
  <si>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</si>
  <si>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</si>
  <si>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</si>
  <si>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</si>
  <si>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</si>
  <si>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</si>
  <si>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</si>
  <si>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</si>
  <si>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</si>
  <si>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</si>
  <si>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</si>
  <si>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</si>
  <si>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</si>
  <si>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</si>
  <si>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</si>
  <si>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</si>
  <si>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</si>
  <si>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</si>
  <si>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</si>
  <si>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</si>
  <si>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</si>
  <si>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</si>
  <si>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</si>
  <si>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</si>
  <si>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</si>
  <si>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</si>
  <si>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</si>
  <si>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</si>
  <si>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</si>
  <si>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</si>
  <si>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</si>
  <si>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</si>
  <si>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</si>
  <si>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</si>
  <si>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</si>
  <si>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</si>
  <si>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</si>
  <si>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</si>
  <si>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</si>
  <si>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</si>
  <si>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</si>
  <si>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</si>
  <si>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</si>
  <si>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</si>
  <si>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</si>
  <si>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</si>
  <si>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</si>
  <si>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</si>
  <si>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</si>
  <si>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</si>
  <si>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</si>
  <si>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</si>
  <si>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</si>
  <si>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</si>
  <si>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</si>
  <si>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</si>
  <si>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</si>
  <si>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</si>
  <si>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</si>
  <si>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</si>
  <si>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</si>
  <si>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</si>
  <si>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</si>
  <si>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</si>
  <si>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</si>
  <si>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</si>
  <si>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</si>
  <si>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</si>
  <si>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</si>
  <si>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</si>
  <si>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</si>
  <si>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</si>
  <si>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</si>
  <si>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</si>
  <si>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</si>
  <si>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</si>
  <si>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</si>
  <si>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</si>
  <si>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</si>
  <si>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</si>
  <si>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</si>
  <si>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</si>
  <si>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</si>
  <si>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</si>
  <si>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</si>
  <si>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</si>
  <si>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</si>
  <si>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</si>
  <si>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</si>
  <si>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</si>
  <si>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</si>
  <si>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</si>
  <si>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</si>
  <si>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</si>
  <si>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</si>
  <si>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</si>
  <si>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</si>
  <si>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</si>
  <si>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</si>
  <si>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</si>
  <si>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</si>
  <si>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</si>
  <si>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</si>
  <si>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</si>
  <si>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</si>
  <si>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</si>
  <si>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</si>
  <si>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</si>
  <si>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</si>
  <si>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</si>
  <si>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</si>
  <si>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</si>
  <si>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</si>
  <si>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</si>
  <si>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</si>
  <si>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</si>
  <si>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</si>
  <si>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</si>
  <si>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</si>
  <si>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</si>
  <si>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</si>
  <si>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</si>
  <si>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</si>
  <si>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</si>
  <si>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</si>
  <si>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</si>
  <si>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</si>
  <si>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</si>
  <si>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</si>
  <si>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</si>
  <si>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</si>
  <si>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</si>
  <si>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</si>
  <si>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</si>
  <si>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</si>
  <si>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</si>
  <si>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</si>
  <si>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</si>
  <si>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</si>
  <si>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</si>
  <si>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</si>
  <si>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</si>
  <si>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</si>
  <si>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</si>
  <si>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</si>
  <si>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</si>
  <si>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</si>
  <si>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</si>
  <si>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</si>
  <si>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</si>
  <si>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</si>
  <si>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</si>
  <si>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</si>
  <si>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</si>
  <si>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</si>
  <si>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</si>
  <si>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</si>
  <si>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</si>
  <si>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</si>
  <si>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</si>
  <si>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</si>
  <si>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</si>
  <si>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</si>
  <si>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</si>
  <si>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</si>
  <si>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</si>
  <si>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</si>
  <si>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</si>
  <si>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</si>
  <si>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</si>
  <si>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</si>
  <si>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</si>
  <si>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</si>
  <si>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</si>
  <si>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</si>
  <si>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</si>
  <si>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</si>
  <si>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</si>
  <si>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</si>
  <si>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</si>
  <si>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</si>
  <si>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</si>
  <si>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</si>
  <si>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</si>
  <si>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</si>
  <si>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</si>
  <si>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</si>
  <si>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</si>
  <si>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</si>
  <si>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</si>
  <si>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</si>
  <si>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</si>
  <si>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</si>
  <si>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</si>
  <si>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</si>
  <si>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</si>
  <si>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</si>
  <si>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</si>
  <si>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</si>
  <si>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</si>
  <si>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</si>
  <si>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</si>
  <si>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</si>
  <si>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</si>
  <si>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</si>
  <si>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</si>
  <si>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</si>
  <si>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</si>
  <si>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</si>
  <si>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</si>
  <si>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</si>
  <si>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</si>
  <si>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</si>
  <si>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</si>
  <si>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</si>
  <si>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</si>
  <si>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</si>
  <si>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</si>
  <si>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</si>
  <si>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</si>
  <si>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</si>
  <si>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</si>
  <si>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</si>
  <si>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</si>
  <si>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</si>
  <si>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</si>
  <si>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</si>
  <si>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</si>
  <si>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</si>
  <si>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</si>
  <si>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</si>
  <si>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</si>
  <si>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</si>
  <si>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</si>
  <si>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</si>
  <si>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</si>
  <si>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</si>
  <si>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</si>
  <si>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</si>
  <si>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</si>
  <si>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</si>
  <si>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</si>
  <si>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</si>
  <si>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</si>
  <si>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</si>
  <si>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</si>
  <si>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</si>
  <si>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</si>
  <si>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</si>
  <si>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</si>
  <si>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</si>
  <si>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</si>
  <si>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</si>
  <si>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</si>
  <si>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</si>
  <si>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</si>
  <si>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</si>
  <si>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</si>
  <si>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</si>
  <si>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</si>
  <si>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</si>
  <si>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</si>
  <si>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</si>
  <si>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</si>
  <si>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</si>
  <si>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</si>
  <si>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</si>
  <si>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</si>
  <si>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</si>
  <si>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</si>
  <si>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</si>
  <si>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</si>
  <si>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</si>
  <si>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</si>
  <si>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</si>
  <si>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</si>
  <si>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</si>
  <si>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</si>
  <si>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</si>
  <si>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</si>
  <si>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</si>
  <si>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</si>
  <si>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</si>
  <si>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</si>
  <si>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</si>
  <si>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</si>
  <si>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</si>
  <si>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</si>
  <si>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</si>
  <si>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</si>
  <si>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</si>
  <si>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</si>
  <si>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</si>
  <si>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</si>
  <si>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</si>
  <si>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</si>
  <si>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</si>
  <si>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</si>
  <si>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</si>
  <si>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</si>
  <si>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</si>
  <si>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</si>
  <si>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</si>
  <si>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</si>
  <si>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</si>
  <si>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</si>
  <si>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</si>
  <si>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</si>
  <si>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</si>
  <si>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</si>
  <si>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</si>
  <si>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</si>
  <si>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</si>
  <si>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</si>
  <si>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</si>
  <si>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</si>
  <si>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</si>
  <si>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</si>
  <si>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</si>
  <si>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</si>
  <si>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</si>
  <si>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</si>
  <si>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</si>
  <si>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</si>
  <si>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</si>
  <si>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</si>
  <si>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</si>
  <si>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</si>
  <si>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</si>
  <si>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</si>
  <si>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</si>
  <si>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</si>
  <si>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</si>
  <si>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</si>
  <si>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</si>
  <si>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</si>
  <si>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</si>
  <si>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</si>
  <si>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</si>
  <si>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</si>
  <si>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</si>
  <si>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</si>
  <si>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</si>
  <si>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</si>
  <si>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</si>
  <si>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</si>
  <si>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</si>
  <si>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</si>
  <si>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</si>
  <si>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</si>
  <si>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</si>
  <si>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</si>
  <si>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</si>
  <si>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</si>
  <si>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</si>
  <si>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</si>
  <si>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</si>
  <si>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</si>
  <si>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</si>
  <si>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</si>
  <si>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</si>
  <si>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</si>
  <si>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</si>
  <si>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</si>
  <si>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</si>
  <si>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</si>
  <si>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</si>
  <si>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</si>
  <si>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</si>
  <si>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</si>
  <si>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</si>
  <si>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</si>
  <si>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</si>
  <si>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</si>
  <si>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</si>
  <si>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</si>
  <si>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</si>
  <si>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</si>
  <si>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</si>
  <si>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</si>
  <si>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</si>
  <si>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</si>
  <si>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</si>
  <si>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</si>
  <si>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</si>
  <si>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</si>
  <si>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</si>
  <si>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</si>
  <si>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</si>
  <si>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</si>
  <si>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</si>
  <si>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</si>
  <si>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</si>
  <si>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</si>
  <si>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</si>
  <si>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</si>
  <si>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</si>
  <si>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</si>
  <si>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</si>
  <si>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</si>
  <si>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</si>
  <si>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</si>
  <si>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</si>
  <si>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</si>
  <si>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</si>
  <si>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</si>
  <si>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</si>
  <si>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</si>
  <si>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</si>
  <si>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</si>
  <si>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</si>
  <si>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</si>
  <si>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</si>
  <si>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</si>
  <si>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</si>
  <si>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</si>
  <si>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</si>
  <si>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</si>
  <si>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</si>
  <si>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</si>
  <si>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</si>
  <si>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</si>
  <si>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</si>
  <si>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</si>
  <si>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</si>
  <si>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</si>
  <si>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</si>
  <si>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</si>
  <si>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</si>
  <si>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</si>
  <si>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</si>
  <si>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</si>
  <si>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</si>
  <si>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</si>
  <si>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</si>
  <si>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</si>
  <si>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</si>
  <si>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</si>
  <si>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</si>
  <si>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</si>
  <si>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</si>
  <si>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</si>
  <si>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</si>
  <si>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</si>
  <si>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</si>
  <si>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</si>
  <si>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</si>
  <si>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</si>
  <si>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</si>
  <si>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</si>
  <si>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</si>
  <si>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</si>
  <si>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</si>
  <si>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</si>
  <si>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</si>
  <si>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</si>
  <si>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</si>
  <si>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</si>
  <si>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</si>
  <si>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</si>
  <si>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</si>
  <si>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</si>
  <si>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</si>
  <si>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</si>
  <si>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</si>
  <si>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</si>
  <si>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</si>
  <si>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</si>
  <si>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</si>
  <si>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</si>
  <si>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</si>
  <si>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</si>
  <si>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</si>
  <si>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</si>
  <si>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</si>
  <si>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</si>
  <si>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</si>
  <si>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</si>
  <si>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</si>
  <si>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</si>
  <si>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</si>
  <si>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</si>
  <si>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</si>
  <si>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</si>
  <si>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</si>
  <si>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</si>
  <si>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</si>
  <si>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</si>
  <si>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</si>
  <si>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</si>
  <si>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</si>
  <si>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</si>
  <si>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</si>
  <si>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</si>
  <si>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</si>
  <si>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</si>
  <si>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</si>
  <si>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</si>
  <si>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</si>
  <si>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</si>
  <si>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</si>
  <si>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</si>
  <si>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</si>
  <si>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</si>
  <si>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</si>
  <si>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</si>
  <si>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</si>
  <si>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</si>
  <si>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</si>
  <si>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</si>
  <si>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</si>
  <si>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</si>
  <si>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</si>
  <si>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</si>
  <si>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</si>
  <si>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</si>
  <si>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</si>
  <si>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</si>
  <si>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</si>
  <si>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</si>
  <si>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</si>
  <si>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</si>
  <si>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</si>
  <si>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</si>
  <si>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</si>
  <si>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</si>
  <si>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</si>
  <si>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</si>
  <si>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</si>
  <si>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</si>
  <si>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</si>
  <si>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</si>
  <si>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</si>
  <si>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</si>
  <si>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</si>
  <si>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</si>
  <si>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</si>
  <si>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</si>
  <si>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</si>
  <si>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</si>
  <si>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</si>
  <si>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</si>
  <si>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</si>
  <si>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</si>
  <si>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</si>
  <si>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</si>
  <si>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</si>
  <si>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</si>
  <si>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</si>
  <si>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</si>
  <si>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</si>
  <si>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</si>
  <si>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</si>
  <si>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</si>
  <si>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</si>
  <si>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</si>
  <si>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</si>
  <si>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</si>
  <si>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</si>
  <si>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</si>
  <si>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</si>
  <si>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</si>
  <si>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</si>
  <si>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</si>
  <si>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</si>
  <si>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</si>
  <si>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</si>
  <si>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</si>
  <si>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</si>
  <si>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</si>
  <si>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</si>
  <si>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</si>
  <si>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</si>
  <si>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</si>
  <si>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</si>
  <si>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</si>
  <si>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</si>
  <si>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</si>
  <si>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</si>
  <si>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</si>
  <si>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</si>
  <si>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</si>
  <si>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</si>
  <si>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</si>
  <si>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</si>
  <si>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</si>
  <si>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</si>
  <si>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</si>
  <si>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</si>
  <si>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</si>
  <si>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</si>
  <si>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</si>
  <si>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</si>
  <si>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</si>
  <si>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</si>
  <si>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</si>
  <si>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</si>
  <si>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</si>
  <si>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</si>
  <si>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</si>
  <si>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</si>
  <si>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</si>
  <si>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</si>
  <si>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</si>
  <si>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</si>
  <si>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</si>
  <si>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</si>
  <si>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</si>
  <si>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</si>
  <si>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</si>
  <si>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</si>
  <si>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</si>
  <si>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</si>
  <si>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</si>
  <si>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</si>
  <si>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</si>
  <si>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</si>
  <si>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</si>
  <si>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</si>
  <si>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</si>
  <si>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</si>
  <si>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</si>
  <si>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</si>
  <si>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</si>
  <si>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</si>
  <si>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</si>
  <si>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</si>
  <si>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</si>
  <si>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</si>
  <si>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</si>
  <si>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</si>
  <si>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</si>
  <si>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</si>
  <si>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</si>
  <si>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</si>
  <si>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</si>
  <si>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</si>
  <si>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</si>
  <si>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</si>
  <si>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</si>
  <si>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</si>
  <si>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</si>
  <si>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</si>
  <si>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</si>
  <si>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</si>
  <si>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</si>
  <si>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</si>
  <si>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</si>
  <si>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</si>
  <si>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</si>
  <si>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</si>
  <si>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</si>
  <si>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</si>
  <si>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</si>
  <si>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</si>
  <si>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</si>
  <si>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</si>
  <si>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</si>
  <si>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</si>
  <si>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</si>
  <si>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</si>
  <si>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</si>
  <si>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</si>
  <si>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</si>
  <si>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</si>
  <si>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</si>
  <si>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</si>
  <si>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</si>
  <si>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</si>
  <si>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</si>
  <si>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</si>
  <si>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</si>
  <si>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</si>
  <si>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</si>
  <si>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</si>
  <si>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</si>
  <si>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</si>
  <si>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</si>
  <si>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</si>
  <si>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</si>
  <si>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</si>
  <si>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</si>
  <si>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</si>
  <si>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</si>
  <si>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</si>
  <si>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</si>
  <si>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</si>
  <si>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</si>
  <si>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</si>
  <si>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</si>
  <si>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</si>
  <si>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</si>
  <si>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</si>
  <si>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</si>
  <si>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</si>
  <si>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</si>
  <si>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</si>
  <si>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</si>
  <si>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</si>
  <si>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</si>
  <si>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</si>
  <si>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</si>
  <si>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</si>
  <si>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</si>
  <si>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</si>
  <si>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</si>
  <si>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</si>
  <si>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</si>
  <si>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</si>
  <si>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</si>
  <si>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</si>
  <si>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</si>
  <si>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</si>
  <si>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</si>
  <si>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</si>
  <si>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</si>
  <si>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</si>
  <si>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</si>
  <si>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</si>
  <si>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</si>
  <si>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</si>
  <si>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</si>
  <si>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</si>
  <si>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</si>
  <si>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</si>
  <si>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</si>
  <si>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</si>
  <si>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</si>
  <si>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</si>
  <si>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</si>
  <si>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</si>
  <si>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</si>
  <si>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</si>
  <si>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</si>
  <si>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</si>
  <si>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</si>
  <si>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</si>
  <si>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</si>
  <si>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</si>
  <si>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</si>
  <si>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</si>
  <si>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</si>
  <si>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</si>
  <si>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</si>
  <si>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</si>
  <si>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</si>
  <si>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</si>
  <si>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</si>
  <si>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</si>
  <si>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</si>
  <si>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</si>
  <si>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</si>
  <si>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</si>
  <si>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</si>
  <si>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</si>
  <si>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</si>
  <si>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</si>
  <si>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</si>
  <si>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</si>
  <si>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</si>
  <si>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</si>
  <si>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</si>
  <si>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</si>
  <si>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</si>
  <si>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</si>
  <si>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</si>
  <si>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</si>
  <si>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</si>
  <si>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</si>
  <si>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</si>
  <si>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</si>
  <si>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</si>
  <si>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</si>
  <si>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</si>
  <si>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</si>
  <si>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</si>
  <si>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</si>
  <si>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</si>
  <si>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</si>
  <si>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</si>
  <si>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</si>
  <si>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</si>
  <si>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</si>
  <si>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</si>
  <si>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</si>
  <si>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</si>
  <si>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</si>
  <si>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</si>
  <si>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</si>
  <si>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</si>
  <si>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</si>
  <si>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</si>
  <si>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</si>
  <si>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</si>
  <si>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</si>
  <si>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</si>
  <si>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</si>
  <si>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</si>
  <si>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</si>
  <si>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</si>
  <si>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</si>
  <si>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</si>
  <si>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</si>
  <si>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</si>
  <si>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</si>
  <si>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</si>
  <si>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</si>
  <si>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</si>
  <si>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</si>
  <si>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</si>
  <si>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</si>
  <si>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</si>
  <si>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</si>
  <si>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</si>
  <si>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</si>
  <si>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</si>
  <si>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</si>
  <si>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</si>
  <si>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</si>
  <si>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</si>
  <si>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</si>
  <si>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</si>
  <si>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</si>
  <si>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</si>
  <si>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</si>
  <si>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</si>
  <si>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</si>
  <si>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</si>
  <si>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</si>
  <si>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</si>
  <si>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</si>
  <si>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</si>
  <si>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</si>
  <si>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</si>
  <si>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</si>
  <si>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</si>
  <si>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</si>
  <si>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</si>
  <si>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</si>
  <si>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</si>
  <si>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</si>
  <si>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</si>
  <si>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</si>
  <si>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</si>
  <si>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</si>
  <si>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</si>
  <si>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</si>
  <si>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</si>
  <si>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</si>
  <si>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</si>
  <si>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</si>
  <si>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</si>
  <si>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</si>
  <si>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</si>
  <si>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</si>
  <si>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</si>
  <si>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</si>
  <si>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</si>
  <si>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</si>
  <si>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</si>
  <si>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</si>
  <si>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</si>
  <si>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</si>
  <si>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</si>
  <si>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</si>
  <si>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</si>
  <si>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</si>
  <si>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</si>
  <si>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</si>
  <si>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</si>
  <si>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</si>
  <si>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</si>
  <si>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</si>
  <si>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</si>
  <si>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</si>
  <si>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</si>
  <si>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</si>
  <si>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</si>
  <si>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</si>
  <si>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</si>
  <si>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</si>
  <si>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</si>
  <si>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</si>
  <si>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</si>
  <si>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</si>
  <si>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</si>
  <si>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</si>
  <si>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</si>
  <si>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</si>
  <si>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</si>
  <si>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</si>
  <si>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</si>
  <si>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</si>
  <si>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</si>
  <si>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</si>
  <si>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</si>
  <si>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</si>
  <si>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</si>
  <si>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</si>
  <si>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</si>
  <si>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</si>
  <si>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</si>
  <si>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</si>
  <si>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</si>
  <si>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</si>
  <si>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</si>
  <si>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</si>
  <si>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</si>
  <si>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</si>
  <si>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</si>
  <si>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</si>
  <si>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</si>
  <si>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</si>
  <si>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</si>
  <si>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</si>
  <si>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</si>
  <si>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</si>
  <si>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</si>
  <si>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</si>
  <si>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</si>
  <si>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</si>
  <si>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</si>
  <si>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</si>
  <si>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</si>
  <si>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</si>
  <si>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</si>
  <si>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</si>
  <si>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</si>
  <si>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</si>
  <si>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</si>
  <si>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</si>
  <si>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</si>
  <si>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</si>
  <si>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</si>
  <si>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</si>
  <si>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</si>
  <si>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</si>
  <si>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</si>
  <si>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</si>
  <si>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</si>
  <si>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</si>
  <si>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</si>
  <si>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</si>
  <si>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</si>
  <si>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</si>
  <si>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</si>
  <si>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</si>
  <si>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</si>
  <si>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</si>
  <si>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</si>
  <si>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</si>
  <si>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</si>
  <si>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</si>
  <si>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</si>
  <si>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</si>
  <si>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</si>
  <si>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</si>
  <si>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</si>
  <si>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</si>
  <si>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</si>
  <si>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</si>
  <si>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</si>
  <si>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</si>
  <si>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</si>
  <si>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</si>
  <si>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</si>
  <si>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</si>
  <si>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</si>
  <si>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</si>
  <si>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</si>
  <si>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</si>
  <si>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</si>
  <si>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</si>
  <si>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</si>
  <si>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</si>
  <si>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</si>
  <si>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</si>
  <si>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</si>
  <si>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</si>
  <si>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</si>
  <si>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</si>
  <si>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</si>
  <si>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</si>
  <si>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</si>
  <si>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</si>
  <si>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</si>
  <si>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</si>
  <si>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</si>
  <si>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</si>
  <si>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</si>
  <si>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</si>
  <si>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</si>
  <si>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</si>
  <si>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</si>
  <si>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</si>
  <si>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</si>
  <si>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</si>
  <si>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</si>
  <si>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</si>
  <si>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</si>
  <si>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</si>
  <si>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</si>
  <si>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</si>
  <si>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</si>
  <si>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</si>
  <si>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</si>
  <si>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</si>
  <si>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</si>
  <si>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</si>
  <si>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</si>
  <si>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</si>
  <si>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</si>
  <si>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</si>
  <si>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</si>
  <si>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</si>
  <si>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</si>
  <si>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</si>
  <si>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</si>
  <si>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</si>
  <si>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</si>
  <si>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</si>
  <si>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</si>
  <si>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</si>
  <si>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</si>
  <si>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</si>
  <si>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</si>
  <si>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</si>
  <si>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</si>
  <si>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</si>
  <si>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</si>
  <si>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</si>
  <si>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</si>
  <si>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</si>
  <si>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</si>
  <si>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</si>
  <si>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</si>
  <si>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</si>
  <si>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</si>
  <si>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</si>
  <si>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</si>
  <si>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</si>
  <si>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</si>
  <si>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</si>
  <si>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</si>
  <si>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</si>
  <si>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</si>
  <si>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</si>
  <si>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</si>
  <si>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</si>
  <si>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</si>
  <si>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</si>
  <si>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</si>
  <si>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</si>
  <si>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</si>
  <si>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</si>
  <si>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</si>
  <si>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</si>
  <si>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</si>
  <si>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</si>
  <si>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</si>
  <si>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</si>
  <si>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</si>
  <si>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</si>
  <si>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</si>
  <si>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</si>
  <si>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</si>
  <si>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</si>
  <si>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</si>
  <si>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</si>
  <si>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</si>
  <si>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</si>
  <si>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</si>
  <si>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</si>
  <si>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</si>
  <si>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</si>
  <si>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</si>
  <si>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</si>
  <si>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</si>
  <si>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</si>
  <si>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</si>
  <si>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</si>
  <si>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</si>
  <si>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</si>
  <si>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</si>
  <si>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</si>
  <si>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</si>
  <si>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</si>
  <si>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</si>
  <si>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</si>
  <si>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</si>
  <si>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</si>
  <si>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</si>
  <si>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</si>
  <si>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</si>
  <si>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</si>
  <si>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</si>
  <si>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</si>
  <si>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</si>
  <si>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</si>
  <si>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</si>
  <si>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</si>
  <si>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</si>
  <si>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</si>
  <si>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</si>
  <si>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</si>
  <si>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</si>
  <si>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</si>
  <si>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</si>
  <si>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</si>
  <si>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</si>
  <si>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</si>
  <si>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</si>
  <si>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</si>
  <si>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</si>
  <si>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</si>
  <si>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</si>
  <si>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</si>
  <si>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</si>
  <si>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</si>
  <si>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</si>
  <si>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</si>
  <si>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</si>
  <si>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</si>
  <si>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</si>
  <si>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</si>
  <si>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</si>
  <si>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</si>
  <si>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</si>
  <si>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</si>
  <si>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</si>
  <si>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</si>
  <si>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</si>
  <si>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</si>
  <si>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</si>
  <si>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</si>
  <si>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</si>
  <si>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</si>
  <si>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</si>
  <si>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</si>
  <si>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</si>
  <si>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</si>
  <si>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</si>
  <si>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</si>
  <si>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</si>
  <si>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</si>
  <si>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</si>
  <si>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</si>
  <si>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</si>
  <si>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</si>
  <si>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</si>
  <si>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</si>
  <si>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</si>
  <si>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</si>
  <si>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</si>
  <si>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</si>
  <si>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</si>
  <si>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</si>
  <si>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</si>
  <si>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</si>
  <si>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</si>
  <si>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</si>
  <si>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</si>
  <si>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</si>
  <si>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</si>
  <si>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</si>
  <si>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</si>
  <si>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</si>
  <si>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</si>
  <si>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</si>
  <si>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</si>
  <si>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</si>
  <si>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</si>
  <si>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</si>
  <si>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</si>
  <si>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</si>
  <si>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</si>
  <si>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</si>
  <si>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</si>
  <si>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</si>
  <si>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</si>
  <si>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</si>
  <si>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</si>
  <si>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</si>
  <si>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</si>
  <si>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</si>
  <si>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</si>
  <si>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</si>
  <si>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</si>
  <si>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</si>
  <si>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</si>
  <si>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</si>
  <si>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</si>
  <si>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</si>
  <si>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</si>
  <si>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</si>
  <si>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</si>
  <si>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</si>
  <si>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</si>
  <si>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</si>
  <si>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</si>
  <si>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</si>
  <si>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</si>
  <si>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</si>
  <si>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</si>
  <si>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</si>
  <si>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</si>
  <si>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</si>
  <si>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</si>
  <si>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</si>
  <si>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</si>
  <si>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</si>
  <si>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</si>
  <si>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</si>
  <si>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</si>
  <si>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</si>
  <si>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</si>
  <si>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</si>
  <si>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</si>
  <si>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</si>
  <si>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</si>
  <si>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</si>
  <si>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</si>
  <si>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</si>
  <si>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</si>
  <si>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</si>
  <si>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</si>
  <si>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</si>
  <si>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</si>
  <si>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</si>
  <si>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</si>
  <si>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</si>
  <si>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</si>
  <si>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</si>
  <si>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</si>
  <si>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</si>
  <si>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</si>
  <si>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</si>
  <si>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</si>
  <si>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</si>
  <si>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</si>
  <si>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</si>
  <si>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</si>
  <si>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</si>
  <si>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</si>
  <si>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</si>
  <si>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</si>
  <si>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</si>
  <si>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</si>
  <si>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</si>
  <si>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</si>
  <si>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</si>
  <si>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</si>
  <si>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</si>
  <si>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</si>
  <si>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</si>
  <si>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</si>
  <si>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</si>
  <si>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</si>
  <si>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</si>
  <si>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</si>
  <si>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</si>
  <si>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</si>
  <si>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</si>
  <si>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</si>
  <si>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</si>
  <si>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</si>
  <si>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</si>
  <si>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</si>
  <si>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</si>
  <si>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</si>
  <si>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</si>
  <si>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</si>
  <si>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</si>
  <si>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</si>
  <si>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</si>
  <si>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</si>
  <si>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</si>
  <si>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</si>
  <si>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</si>
  <si>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</si>
  <si>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</si>
  <si>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</si>
  <si>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</si>
  <si>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</si>
  <si>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</si>
  <si>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</si>
  <si>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</si>
  <si>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</si>
  <si>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</si>
  <si>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</si>
  <si>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</si>
  <si>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</si>
  <si>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</si>
  <si>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</si>
  <si>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</si>
  <si>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</si>
  <si>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</si>
  <si>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</si>
  <si>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</si>
  <si>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</si>
  <si>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</si>
  <si>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</si>
  <si>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</si>
  <si>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</si>
  <si>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</si>
  <si>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</si>
  <si>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</si>
  <si>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</si>
  <si>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</si>
  <si>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</si>
  <si>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</si>
  <si>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</si>
  <si>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</si>
  <si>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</si>
  <si>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</si>
  <si>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</si>
  <si>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</si>
  <si>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</si>
  <si>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</si>
  <si>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</si>
  <si>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</si>
  <si>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</si>
  <si>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</si>
  <si>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</si>
  <si>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</si>
  <si>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</si>
  <si>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</si>
  <si>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</si>
  <si>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</si>
  <si>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</si>
  <si>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</si>
  <si>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</si>
  <si>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</si>
  <si>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</si>
  <si>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</si>
  <si>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</si>
  <si>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</si>
  <si>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</si>
  <si>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</si>
  <si>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</si>
  <si>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</si>
  <si>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</si>
  <si>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</si>
  <si>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</si>
  <si>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</si>
  <si>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</si>
  <si>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</si>
  <si>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</si>
  <si>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</si>
  <si>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</si>
  <si>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</si>
  <si>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</si>
  <si>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</si>
  <si>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</si>
  <si>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</si>
  <si>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</si>
  <si>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</si>
  <si>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</si>
  <si>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</si>
  <si>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</si>
  <si>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</si>
  <si>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</si>
  <si>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</si>
  <si>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</si>
  <si>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</si>
  <si>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</si>
  <si>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</si>
  <si>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</si>
  <si>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</si>
  <si>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</si>
  <si>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</si>
  <si>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</si>
  <si>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</si>
  <si>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</si>
  <si>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</si>
  <si>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</si>
  <si>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</si>
  <si>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</si>
  <si>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</si>
  <si>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</si>
  <si>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</si>
  <si>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</si>
  <si>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</si>
  <si>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</si>
  <si>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</si>
  <si>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</si>
  <si>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</si>
  <si>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</si>
  <si>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</si>
  <si>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</si>
  <si>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</si>
  <si>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</si>
  <si>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</si>
  <si>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</si>
  <si>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</si>
  <si>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</si>
  <si>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</si>
  <si>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</si>
  <si>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</si>
  <si>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</si>
  <si>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</si>
  <si>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</si>
  <si>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</si>
  <si>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</si>
  <si>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</si>
  <si>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</si>
  <si>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</si>
  <si>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</si>
  <si>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</si>
  <si>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</si>
  <si>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</si>
  <si>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</si>
  <si>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</si>
  <si>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</si>
  <si>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</si>
  <si>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</si>
  <si>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</si>
  <si>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</si>
  <si>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</si>
  <si>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</si>
  <si>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</si>
  <si>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</si>
  <si>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</si>
  <si>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</si>
  <si>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</si>
  <si>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</si>
  <si>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</si>
  <si>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</si>
  <si>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</si>
  <si>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</si>
  <si>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</si>
  <si>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</si>
  <si>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</si>
  <si>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</si>
  <si>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</si>
  <si>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</si>
  <si>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</si>
  <si>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</si>
  <si>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</si>
  <si>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</si>
  <si>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</si>
  <si>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</si>
  <si>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</si>
  <si>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</si>
  <si>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</si>
  <si>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</si>
  <si>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</si>
  <si>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</si>
  <si>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</si>
  <si>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</si>
  <si>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</si>
  <si>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</si>
  <si>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</si>
  <si>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</si>
  <si>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</si>
  <si>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</si>
  <si>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</si>
  <si>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</si>
  <si>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</si>
  <si>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</si>
  <si>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</si>
  <si>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</si>
  <si>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</si>
  <si>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</si>
  <si>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</si>
  <si>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</si>
  <si>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</si>
  <si>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</si>
  <si>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</si>
  <si>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</si>
  <si>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</si>
  <si>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</si>
  <si>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</si>
  <si>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</si>
  <si>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</si>
  <si>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</si>
  <si>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</si>
  <si>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</si>
  <si>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</si>
  <si>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</si>
  <si>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</si>
  <si>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</si>
  <si>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</si>
  <si>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</si>
  <si>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</si>
  <si>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</si>
  <si>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</si>
  <si>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</si>
  <si>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</si>
  <si>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</si>
  <si>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</si>
  <si>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</si>
  <si>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</si>
  <si>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</si>
  <si>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</si>
  <si>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</si>
  <si>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</si>
  <si>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</si>
  <si>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</si>
  <si>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</si>
  <si>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</si>
  <si>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</si>
  <si>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</si>
  <si>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</si>
  <si>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</si>
  <si>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</si>
  <si>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</si>
  <si>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</si>
  <si>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</si>
  <si>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</si>
  <si>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</si>
  <si>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</si>
  <si>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</si>
  <si>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</si>
  <si>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</si>
  <si>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</si>
  <si>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</si>
  <si>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</si>
  <si>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</si>
  <si>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</si>
  <si>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</si>
  <si>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</si>
  <si>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</si>
  <si>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</si>
  <si>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</si>
  <si>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</si>
  <si>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</si>
  <si>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</si>
  <si>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</si>
  <si>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</si>
  <si>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</si>
  <si>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</si>
  <si>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</si>
  <si>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</si>
  <si>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</si>
  <si>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</si>
  <si>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</si>
  <si>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</si>
  <si>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</si>
  <si>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</si>
  <si>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</si>
  <si>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</si>
  <si>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</si>
  <si>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</si>
  <si>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</si>
  <si>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</si>
  <si>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</si>
  <si>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</si>
  <si>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</si>
  <si>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</si>
  <si>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</si>
  <si>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</si>
  <si>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</si>
  <si>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</si>
  <si>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</si>
  <si>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</si>
  <si>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</si>
  <si>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</si>
  <si>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</si>
  <si>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</si>
  <si>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</si>
  <si>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</si>
  <si>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</si>
  <si>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</si>
  <si>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</si>
  <si>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</si>
  <si>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</si>
  <si>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</si>
  <si>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</si>
  <si>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</si>
  <si>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</si>
  <si>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</si>
  <si>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</si>
  <si>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</si>
  <si>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</si>
  <si>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</si>
  <si>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</si>
  <si>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</si>
  <si>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</si>
  <si>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</si>
  <si>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</si>
  <si>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</si>
  <si>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</si>
  <si>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</si>
  <si>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</si>
  <si>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</si>
  <si>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</si>
  <si>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</si>
  <si>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</si>
  <si>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</si>
  <si>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</si>
  <si>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</si>
  <si>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</si>
  <si>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</si>
  <si>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</si>
  <si>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</si>
  <si>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</si>
  <si>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</si>
  <si>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</si>
  <si>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</si>
  <si>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</si>
  <si>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</si>
  <si>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</si>
  <si>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</si>
  <si>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</si>
  <si>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</si>
  <si>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</si>
  <si>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</si>
  <si>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</si>
  <si>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</si>
  <si>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</si>
  <si>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</si>
  <si>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</si>
  <si>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</si>
  <si>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</si>
  <si>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</si>
  <si>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</si>
  <si>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</si>
  <si>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</si>
  <si>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</si>
  <si>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</si>
  <si>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</si>
  <si>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</si>
  <si>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</si>
  <si>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</si>
  <si>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</si>
  <si>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</si>
  <si>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</si>
  <si>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</si>
  <si>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</si>
  <si>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</si>
  <si>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</si>
  <si>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</si>
  <si>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</si>
  <si>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</si>
  <si>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</si>
  <si>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</si>
  <si>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</si>
  <si>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</si>
  <si>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</si>
  <si>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</si>
  <si>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</si>
  <si>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</si>
  <si>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</si>
  <si>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</si>
  <si>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</si>
  <si>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</si>
  <si>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</si>
  <si>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</si>
  <si>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</si>
  <si>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</si>
  <si>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</si>
  <si>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</si>
  <si>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</si>
  <si>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</si>
  <si>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</si>
  <si>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</si>
  <si>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</si>
  <si>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</si>
  <si>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</si>
  <si>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</si>
  <si>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</si>
  <si>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</si>
  <si>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</si>
  <si>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</si>
  <si>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</si>
  <si>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</si>
  <si>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</si>
  <si>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</si>
  <si>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</si>
  <si>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</si>
  <si>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</si>
  <si>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</si>
  <si>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</si>
  <si>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</si>
  <si>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</si>
  <si>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</si>
  <si>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</si>
  <si>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</si>
  <si>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</si>
  <si>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</si>
  <si>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</si>
  <si>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</si>
  <si>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</si>
  <si>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</si>
  <si>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</si>
  <si>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</si>
  <si>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</si>
  <si>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</si>
  <si>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</si>
  <si>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</si>
  <si>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</si>
  <si>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</si>
  <si>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</si>
  <si>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</si>
  <si>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</si>
  <si>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</si>
  <si>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</si>
  <si>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</si>
  <si>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</si>
  <si>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</si>
  <si>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</si>
  <si>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</si>
  <si>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</si>
  <si>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</si>
  <si>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</si>
  <si>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</si>
  <si>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</si>
  <si>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</si>
  <si>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</si>
  <si>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</si>
  <si>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</si>
  <si>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</si>
  <si>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</si>
  <si>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</si>
  <si>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</si>
  <si>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</si>
  <si>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</si>
  <si>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</si>
  <si>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</si>
  <si>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</si>
  <si>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</si>
  <si>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</si>
  <si>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</si>
  <si>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</si>
  <si>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</si>
  <si>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</si>
  <si>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</si>
  <si>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</si>
  <si>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</si>
  <si>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</si>
  <si>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</si>
  <si>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</si>
  <si>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</si>
  <si>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</si>
  <si>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</si>
  <si>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</si>
  <si>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</si>
  <si>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</si>
  <si>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</si>
  <si>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</si>
  <si>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</si>
  <si>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</si>
  <si>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</si>
  <si>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</si>
  <si>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</si>
  <si>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</si>
  <si>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</si>
  <si>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</si>
  <si>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</si>
  <si>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</si>
  <si>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</si>
  <si>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</si>
  <si>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</si>
  <si>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</si>
  <si>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</si>
  <si>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</si>
  <si>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</si>
  <si>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</si>
  <si>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</si>
  <si>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</si>
  <si>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</si>
  <si>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</si>
  <si>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</si>
  <si>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</si>
  <si>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</si>
  <si>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</si>
  <si>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</si>
  <si>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</si>
  <si>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</si>
  <si>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</si>
  <si>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</si>
  <si>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</si>
  <si>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</si>
  <si>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</si>
  <si>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</si>
  <si>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</si>
  <si>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</si>
  <si>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</si>
  <si>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</si>
  <si>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</si>
  <si>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</si>
  <si>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</si>
  <si>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</si>
  <si>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</si>
  <si>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</si>
  <si>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</si>
  <si>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</si>
  <si>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</si>
  <si>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</si>
  <si>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</si>
  <si>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</si>
  <si>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</si>
  <si>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</si>
  <si>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</si>
  <si>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</si>
  <si>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</si>
  <si>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</si>
  <si>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</si>
  <si>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</si>
  <si>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</si>
  <si>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</si>
  <si>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</si>
  <si>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</si>
  <si>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</si>
  <si>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</si>
  <si>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</si>
  <si>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</si>
  <si>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</si>
  <si>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</si>
  <si>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</si>
  <si>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</si>
  <si>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</si>
  <si>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</si>
  <si>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</si>
  <si>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</si>
  <si>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</si>
  <si>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</si>
  <si>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</si>
  <si>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</si>
  <si>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</si>
  <si>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</si>
  <si>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</si>
  <si>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</si>
  <si>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</si>
  <si>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</si>
  <si>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</si>
  <si>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</si>
  <si>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</si>
  <si>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</si>
  <si>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</si>
  <si>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</si>
  <si>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</si>
  <si>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</si>
  <si>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</si>
  <si>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</si>
  <si>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</si>
  <si>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</si>
  <si>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</si>
  <si>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</si>
  <si>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</si>
  <si>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</si>
  <si>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</si>
  <si>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</si>
  <si>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</si>
  <si>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</si>
  <si>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</si>
  <si>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</si>
  <si>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</si>
  <si>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</si>
  <si>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</si>
  <si>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</si>
  <si>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</si>
  <si>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</si>
  <si>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</si>
  <si>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</si>
  <si>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</si>
  <si>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</si>
  <si>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</si>
  <si>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</si>
  <si>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</si>
  <si>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</si>
  <si>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</si>
  <si>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</si>
  <si>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</si>
  <si>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</si>
  <si>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</si>
  <si>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</si>
  <si>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</si>
  <si>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</si>
  <si>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</si>
  <si>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</si>
  <si>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</si>
  <si>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</si>
  <si>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</si>
  <si>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</si>
  <si>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</si>
  <si>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</si>
  <si>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</si>
  <si>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</si>
  <si>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</si>
  <si>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</si>
  <si>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</si>
  <si>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</si>
  <si>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</si>
  <si>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</si>
  <si>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</si>
  <si>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</si>
  <si>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</si>
  <si>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</si>
  <si>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</si>
  <si>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</si>
  <si>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</si>
  <si>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</si>
  <si>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</si>
  <si>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</si>
  <si>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</si>
  <si>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</si>
  <si>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</si>
  <si>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</si>
  <si>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</si>
  <si>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</si>
  <si>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</si>
  <si>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</si>
  <si>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</si>
  <si>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</si>
  <si>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</si>
  <si>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</si>
  <si>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</si>
  <si>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</si>
  <si>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</si>
  <si>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</si>
  <si>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</si>
  <si>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</si>
  <si>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</si>
  <si>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</si>
  <si>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</si>
  <si>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</si>
  <si>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</si>
  <si>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</si>
  <si>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</si>
  <si>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</si>
  <si>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</si>
  <si>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</si>
  <si>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</si>
  <si>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</si>
  <si>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</si>
  <si>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</si>
  <si>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</si>
  <si>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</si>
  <si>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</si>
  <si>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</si>
  <si>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</si>
  <si>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</si>
  <si>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</si>
  <si>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</si>
  <si>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</si>
  <si>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</si>
  <si>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</si>
  <si>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</si>
  <si>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</si>
  <si>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</si>
  <si>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</si>
  <si>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</si>
  <si>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</si>
  <si>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</si>
  <si>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</si>
  <si>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</si>
  <si>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</si>
  <si>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</si>
  <si>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</si>
  <si>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</si>
  <si>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</si>
  <si>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</si>
  <si>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</si>
  <si>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</si>
  <si>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</si>
  <si>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</si>
  <si>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</si>
  <si>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</si>
  <si>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</si>
  <si>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</si>
  <si>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</si>
  <si>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</si>
  <si>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</si>
  <si>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</si>
  <si>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</si>
  <si>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</si>
  <si>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</si>
  <si>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</si>
  <si>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</si>
  <si>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</si>
  <si>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</si>
  <si>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</si>
  <si>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</si>
  <si>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</si>
  <si>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</si>
  <si>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</si>
  <si>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</si>
  <si>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</si>
  <si>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</si>
  <si>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</si>
  <si>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</si>
  <si>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</si>
  <si>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</si>
  <si>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</si>
  <si>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</si>
  <si>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</si>
  <si>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</si>
  <si>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</si>
  <si>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</si>
  <si>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</si>
  <si>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</si>
  <si>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</si>
  <si>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</si>
  <si>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</si>
  <si>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</si>
  <si>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</si>
  <si>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</si>
  <si>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</si>
  <si>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</si>
  <si>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</si>
  <si>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</si>
  <si>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</si>
  <si>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</si>
  <si>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</si>
  <si>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</si>
  <si>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</si>
  <si>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</si>
  <si>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</si>
  <si>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</si>
  <si>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</si>
  <si>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</si>
  <si>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</si>
  <si>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</si>
  <si>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</si>
  <si>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</si>
  <si>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</si>
  <si>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</si>
  <si>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</si>
  <si>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</si>
  <si>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</si>
  <si>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</si>
  <si>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</si>
  <si>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</si>
  <si>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</si>
  <si>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</si>
  <si>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</si>
  <si>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</si>
  <si>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</si>
  <si>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</si>
  <si>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</si>
  <si>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</si>
  <si>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</si>
  <si>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</si>
  <si>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</si>
  <si>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</si>
  <si>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</si>
  <si>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</si>
  <si>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</si>
  <si>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</si>
  <si>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</si>
  <si>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</si>
  <si>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</si>
  <si>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</si>
  <si>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</si>
  <si>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</si>
  <si>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</si>
  <si>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</si>
  <si>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</si>
  <si>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</si>
  <si>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</si>
  <si>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</si>
  <si>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</si>
  <si>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</si>
  <si>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</si>
  <si>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</si>
  <si>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</si>
  <si>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</si>
  <si>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</si>
  <si>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</si>
  <si>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</si>
  <si>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</si>
  <si>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</si>
  <si>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</si>
  <si>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</si>
  <si>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</si>
  <si>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</si>
  <si>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</si>
  <si>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</si>
  <si>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</si>
  <si>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</si>
  <si>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</si>
  <si>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</si>
  <si>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</si>
  <si>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</si>
  <si>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</si>
  <si>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</si>
  <si>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</si>
  <si>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</si>
  <si>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</si>
  <si>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</si>
  <si>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</si>
  <si>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</si>
  <si>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</si>
  <si>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</si>
  <si>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</si>
  <si>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</si>
  <si>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</si>
  <si>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</si>
  <si>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</si>
  <si>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</si>
  <si>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</si>
  <si>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</si>
  <si>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</si>
  <si>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</si>
  <si>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</si>
  <si>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</si>
  <si>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</si>
  <si>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</si>
  <si>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</si>
  <si>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</si>
  <si>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</si>
  <si>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</si>
  <si>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</si>
  <si>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</si>
  <si>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</si>
  <si>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</si>
  <si>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</si>
  <si>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</si>
  <si>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</si>
  <si>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</si>
  <si>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</si>
  <si>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</si>
  <si>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</si>
  <si>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</si>
  <si>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</si>
  <si>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</si>
  <si>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</si>
  <si>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</si>
  <si>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</si>
  <si>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</si>
  <si>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</si>
  <si>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</si>
  <si>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</si>
  <si>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</si>
  <si>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</si>
  <si>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</si>
  <si>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</si>
  <si>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</si>
  <si>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</si>
  <si>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</si>
  <si>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</si>
  <si>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</si>
  <si>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</si>
  <si>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</si>
  <si>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</si>
  <si>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</si>
  <si>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</si>
  <si>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</si>
  <si>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</si>
  <si>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</si>
  <si>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</si>
  <si>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</si>
  <si>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</si>
  <si>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</si>
  <si>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</si>
  <si>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</si>
  <si>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</si>
  <si>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</si>
  <si>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</si>
  <si>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</si>
  <si>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</si>
  <si>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</si>
  <si>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</si>
  <si>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</si>
  <si>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</si>
  <si>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</si>
  <si>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</si>
  <si>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</si>
  <si>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</si>
  <si>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</si>
  <si>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</si>
  <si>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</si>
  <si>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</si>
  <si>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</si>
  <si>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</si>
  <si>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</si>
  <si>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</si>
  <si>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</si>
  <si>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</si>
  <si>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</si>
  <si>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</si>
  <si>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</si>
  <si>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</si>
  <si>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</si>
  <si>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</si>
  <si>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</si>
  <si>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</si>
  <si>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</si>
  <si>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</si>
  <si>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</si>
  <si>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</si>
  <si>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</si>
  <si>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</si>
  <si>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</si>
  <si>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</si>
  <si>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</si>
  <si>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</si>
  <si>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</si>
  <si>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</si>
  <si>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</si>
  <si>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</si>
  <si>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</si>
  <si>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</si>
  <si>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</si>
  <si>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</si>
  <si>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</si>
  <si>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</si>
  <si>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</si>
  <si>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</si>
  <si>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</si>
  <si>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</si>
  <si>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</si>
  <si>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</si>
  <si>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</si>
  <si>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</si>
  <si>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</si>
  <si>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</si>
  <si>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</si>
  <si>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</si>
  <si>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</si>
  <si>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</si>
  <si>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</si>
  <si>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</si>
  <si>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</si>
  <si>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</si>
  <si>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</si>
  <si>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</si>
  <si>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</si>
  <si>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</si>
  <si>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</si>
  <si>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</si>
  <si>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</si>
  <si>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</si>
  <si>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</si>
  <si>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</si>
  <si>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</si>
  <si>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</si>
  <si>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</si>
  <si>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</si>
  <si>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</si>
  <si>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</si>
  <si>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</si>
  <si>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</si>
  <si>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</si>
  <si>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</si>
  <si>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</si>
  <si>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</si>
  <si>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</si>
  <si>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</si>
  <si>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</si>
  <si>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</si>
  <si>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</si>
  <si>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</si>
  <si>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</si>
  <si>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</si>
  <si>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</si>
  <si>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</si>
  <si>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</si>
  <si>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</si>
  <si>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</si>
  <si>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</si>
  <si>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</si>
  <si>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</si>
  <si>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</si>
  <si>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</si>
  <si>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</si>
  <si>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</si>
  <si>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</si>
  <si>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</si>
  <si>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</si>
  <si>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</si>
  <si>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</si>
  <si>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</si>
  <si>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</si>
  <si>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</si>
  <si>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</si>
  <si>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</si>
  <si>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</si>
  <si>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</si>
  <si>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</si>
  <si>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</si>
  <si>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</si>
  <si>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</si>
  <si>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</si>
  <si>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</si>
  <si>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</si>
  <si>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</si>
  <si>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</si>
  <si>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</si>
  <si>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</si>
  <si>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</si>
  <si>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</si>
  <si>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</si>
  <si>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</si>
  <si>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</si>
  <si>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</si>
  <si>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</si>
  <si>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</si>
  <si>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</si>
  <si>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</si>
  <si>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</si>
  <si>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</si>
  <si>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</si>
  <si>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</si>
  <si>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</si>
  <si>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</si>
  <si>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</si>
  <si>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</si>
  <si>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</si>
  <si>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</si>
  <si>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</si>
  <si>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</si>
  <si>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</si>
  <si>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</si>
  <si>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</si>
  <si>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</si>
  <si>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</si>
  <si>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</si>
  <si>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</si>
  <si>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</si>
  <si>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</si>
  <si>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</si>
  <si>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</si>
  <si>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</si>
  <si>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</si>
  <si>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</si>
  <si>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</si>
  <si>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</si>
  <si>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</si>
  <si>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</si>
  <si>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</si>
  <si>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</si>
  <si>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</si>
  <si>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</si>
  <si>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</si>
  <si>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</si>
  <si>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</si>
  <si>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</si>
  <si>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</si>
  <si>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</si>
  <si>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</si>
  <si>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</si>
  <si>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</si>
  <si>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</si>
  <si>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</si>
  <si>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</si>
  <si>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</si>
  <si>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</si>
  <si>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</si>
  <si>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</si>
  <si>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</si>
  <si>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</si>
  <si>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</si>
  <si>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</si>
  <si>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</si>
  <si>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</si>
  <si>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</si>
  <si>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</si>
  <si>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</si>
  <si>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</si>
  <si>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</si>
  <si>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</si>
  <si>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</si>
  <si>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</si>
  <si>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</si>
  <si>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</si>
  <si>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</si>
  <si>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</si>
  <si>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</si>
  <si>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</si>
  <si>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</si>
  <si>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</si>
  <si>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</si>
  <si>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</si>
  <si>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</si>
  <si>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</si>
  <si>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</si>
  <si>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</si>
  <si>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</si>
  <si>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</si>
  <si>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</si>
  <si>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</si>
  <si>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</si>
  <si>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</si>
  <si>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</si>
  <si>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</si>
  <si>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</si>
  <si>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</si>
  <si>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</si>
  <si>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</si>
  <si>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</si>
  <si>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</si>
  <si>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</si>
  <si>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</si>
  <si>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</si>
  <si>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</si>
  <si>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</si>
  <si>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</si>
  <si>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</si>
  <si>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</si>
  <si>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</si>
  <si>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</si>
  <si>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</si>
  <si>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</si>
  <si>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</si>
  <si>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</si>
  <si>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</si>
  <si>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</si>
  <si>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</si>
  <si>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</si>
  <si>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</si>
  <si>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</si>
  <si>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</si>
  <si>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</si>
  <si>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</si>
  <si>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LHTS Releve 1</t>
  </si>
  <si>
    <t>Salix sp.</t>
  </si>
  <si>
    <t>Lonicera sp.</t>
  </si>
  <si>
    <t>Sambucus sp.</t>
  </si>
  <si>
    <t>H4-3b, H3-1i</t>
  </si>
  <si>
    <t>D5r, D4i, D3r, D2b, D1a, C1a</t>
  </si>
  <si>
    <t>Typha angustifolia/typha x glauca</t>
  </si>
  <si>
    <t>Viola sp.</t>
  </si>
  <si>
    <t>Equisetum sp.</t>
  </si>
  <si>
    <t>G3-2p</t>
  </si>
  <si>
    <t>LHTS2021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</si>
</sst>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  <font>
      <i/>
      <sz val="10"/>
      <color rgb="FF000000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51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4" fillId="0" borderId="25" xfId="1" applyFont="1" applyBorder="1"/>
    <xf numFmtId="0" fontId="4" fillId="0" borderId="25" xfId="1" applyFont="1" applyBorder="1" applyAlignment="1">
      <alignment horizontal="left"/>
    </xf>
    <xf numFmtId="0" fontId="4" fillId="0" borderId="26" xfId="1" applyFont="1" applyBorder="1" applyAlignment="1">
      <alignment horizontal="left"/>
    </xf>
    <xf numFmtId="0" fontId="8" fillId="35" borderId="0" xfId="0" applyFont="1" applyFill="1" applyAlignment="1">
      <alignment horizontal="right"/>
    </xf>
    <xf numFmtId="0" fontId="4" fillId="0" borderId="0" xfId="0" applyFont="1"/>
    <xf numFmtId="0" fontId="4" fillId="0" borderId="26" xfId="1" applyFont="1" applyBorder="1"/>
    <xf numFmtId="0" fontId="4" fillId="0" borderId="33" xfId="1" applyFont="1" applyBorder="1"/>
    <xf numFmtId="0" fontId="4" fillId="0" borderId="0" xfId="1" applyFont="1"/>
    <xf numFmtId="0" fontId="4" fillId="0" borderId="34" xfId="1" applyFont="1" applyBorder="1"/>
    <xf numFmtId="0" fontId="37" fillId="0" borderId="0" xfId="0" applyFont="1"/>
    <xf numFmtId="0" fontId="8" fillId="0" borderId="25" xfId="1" applyBorder="1" applyAlignment="1">
      <alignment horizontal="left"/>
    </xf>
    <xf numFmtId="0" fontId="8" fillId="0" borderId="26" xfId="1" applyBorder="1" applyAlignment="1">
      <alignment horizontal="left"/>
    </xf>
    <xf numFmtId="0" fontId="8" fillId="0" borderId="25" xfId="0" applyFont="1" applyBorder="1"/>
    <xf numFmtId="0" fontId="8" fillId="0" borderId="25" xfId="1" applyBorder="1"/>
    <xf numFmtId="0" fontId="4" fillId="0" borderId="34" xfId="1" applyFont="1" applyBorder="1" applyAlignment="1">
      <alignment horizontal="left"/>
    </xf>
    <xf numFmtId="0" fontId="4" fillId="0" borderId="35" xfId="1" applyFont="1" applyBorder="1"/>
    <xf numFmtId="0" fontId="8" fillId="0" borderId="36" xfId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3" xfId="0" applyBorder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4" xfId="0" applyBorder="1"/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5" sqref="B5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34" t="s">
        <v>57</v>
      </c>
      <c r="B2" s="134"/>
      <c r="C2" s="134"/>
      <c r="D2" s="134"/>
      <c r="E2" s="134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 t="s">
        <v>5439</v>
      </c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36" t="s">
        <v>5401</v>
      </c>
      <c r="B22" s="136"/>
      <c r="C22" s="136"/>
      <c r="D22" s="136"/>
      <c r="E22" s="136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35" t="s">
        <v>5402</v>
      </c>
      <c r="B24" s="135"/>
      <c r="C24" s="135"/>
      <c r="D24" s="135"/>
      <c r="E24" s="135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35" t="s">
        <v>61</v>
      </c>
      <c r="B39" s="135"/>
      <c r="C39" s="135"/>
      <c r="D39" s="135"/>
      <c r="E39" s="135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35" t="s">
        <v>62</v>
      </c>
      <c r="B45" s="135"/>
      <c r="C45" s="135"/>
      <c r="D45" s="135"/>
      <c r="E45" s="135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25" t="s">
        <v>43</v>
      </c>
      <c r="B93" s="126"/>
      <c r="C93" s="127"/>
      <c r="D93" s="128" t="s">
        <v>44</v>
      </c>
      <c r="E93" s="129"/>
    </row>
    <row r="94" spans="1:5" x14ac:dyDescent="0.2">
      <c r="A94" s="73" t="s">
        <v>23</v>
      </c>
      <c r="B94" s="130" t="s">
        <v>30</v>
      </c>
      <c r="C94" s="131"/>
      <c r="D94" s="3" t="s">
        <v>46</v>
      </c>
      <c r="E94" s="9">
        <v>8</v>
      </c>
    </row>
    <row r="95" spans="1:5" x14ac:dyDescent="0.2">
      <c r="A95" s="73" t="s">
        <v>24</v>
      </c>
      <c r="B95" s="132" t="s">
        <v>31</v>
      </c>
      <c r="C95" s="133"/>
      <c r="D95" s="3" t="s">
        <v>47</v>
      </c>
      <c r="E95" s="9">
        <v>7</v>
      </c>
    </row>
    <row r="96" spans="1:5" x14ac:dyDescent="0.2">
      <c r="A96" s="73" t="s">
        <v>3</v>
      </c>
      <c r="B96" s="132" t="s">
        <v>32</v>
      </c>
      <c r="C96" s="133"/>
      <c r="D96" s="3" t="s">
        <v>48</v>
      </c>
      <c r="E96" s="9">
        <v>6</v>
      </c>
    </row>
    <row r="97" spans="1:5" x14ac:dyDescent="0.2">
      <c r="A97" s="73" t="s">
        <v>25</v>
      </c>
      <c r="B97" s="132" t="s">
        <v>33</v>
      </c>
      <c r="C97" s="133"/>
      <c r="D97" s="3" t="s">
        <v>49</v>
      </c>
      <c r="E97" s="9">
        <v>5</v>
      </c>
    </row>
    <row r="98" spans="1:5" x14ac:dyDescent="0.2">
      <c r="A98" s="73" t="s">
        <v>26</v>
      </c>
      <c r="B98" s="132" t="s">
        <v>34</v>
      </c>
      <c r="C98" s="133"/>
      <c r="D98" s="3" t="s">
        <v>50</v>
      </c>
      <c r="E98" s="9">
        <v>4</v>
      </c>
    </row>
    <row r="99" spans="1:5" x14ac:dyDescent="0.2">
      <c r="A99" s="73" t="s">
        <v>27</v>
      </c>
      <c r="B99" s="132" t="s">
        <v>35</v>
      </c>
      <c r="C99" s="133"/>
      <c r="D99" s="3" t="s">
        <v>4</v>
      </c>
      <c r="E99" s="9">
        <v>3</v>
      </c>
    </row>
    <row r="100" spans="1:5" x14ac:dyDescent="0.2">
      <c r="A100" s="73" t="s">
        <v>2</v>
      </c>
      <c r="B100" s="132" t="s">
        <v>36</v>
      </c>
      <c r="C100" s="133"/>
      <c r="D100" s="3" t="s">
        <v>5</v>
      </c>
      <c r="E100" s="9">
        <v>2</v>
      </c>
    </row>
    <row r="101" spans="1:5" x14ac:dyDescent="0.2">
      <c r="A101" s="73" t="s">
        <v>28</v>
      </c>
      <c r="B101" s="132" t="s">
        <v>37</v>
      </c>
      <c r="C101" s="133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39" t="s">
        <v>38</v>
      </c>
      <c r="C102" s="140"/>
      <c r="D102" s="5"/>
      <c r="E102" s="8"/>
    </row>
    <row r="103" spans="1:5" ht="13.2" thickBot="1" x14ac:dyDescent="0.25">
      <c r="A103" s="125" t="s">
        <v>68</v>
      </c>
      <c r="B103" s="126"/>
      <c r="C103" s="127"/>
      <c r="D103" s="128" t="s">
        <v>45</v>
      </c>
      <c r="E103" s="129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25" t="s">
        <v>21</v>
      </c>
      <c r="B112" s="126"/>
      <c r="C112" s="129"/>
    </row>
    <row r="113" spans="1:3" x14ac:dyDescent="0.2">
      <c r="A113" s="73">
        <v>1</v>
      </c>
      <c r="B113" s="130" t="s">
        <v>40</v>
      </c>
      <c r="C113" s="131"/>
    </row>
    <row r="114" spans="1:3" x14ac:dyDescent="0.2">
      <c r="A114" s="73" t="s">
        <v>39</v>
      </c>
      <c r="B114" s="132" t="s">
        <v>41</v>
      </c>
      <c r="C114" s="133"/>
    </row>
    <row r="115" spans="1:3" x14ac:dyDescent="0.2">
      <c r="A115" s="74" t="s">
        <v>15</v>
      </c>
      <c r="B115" s="137" t="s">
        <v>42</v>
      </c>
      <c r="C115" s="138"/>
    </row>
    <row r="150" ht="12" customHeight="1" x14ac:dyDescent="0.2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34" t="s">
        <v>127</v>
      </c>
      <c r="B1" s="134"/>
      <c r="C1" s="134"/>
      <c r="D1" s="134"/>
      <c r="E1" s="134"/>
      <c r="F1" s="134"/>
      <c r="G1" s="134"/>
      <c r="H1" s="14"/>
    </row>
    <row r="2" spans="1:14" x14ac:dyDescent="0.2">
      <c r="A2" s="143" t="s">
        <v>138</v>
      </c>
      <c r="B2" s="143"/>
      <c r="C2" s="15"/>
      <c r="D2" s="15"/>
      <c r="E2" s="15"/>
      <c r="F2" s="15"/>
      <c r="G2" s="15"/>
      <c r="H2" s="15"/>
    </row>
    <row r="3" spans="1:14" x14ac:dyDescent="0.2">
      <c r="A3" s="144" t="s">
        <v>52</v>
      </c>
      <c r="B3" s="144"/>
      <c r="C3" s="15"/>
      <c r="D3" s="15"/>
      <c r="E3" s="15"/>
      <c r="F3" s="15"/>
      <c r="G3" s="15"/>
      <c r="H3" s="15"/>
    </row>
    <row r="4" spans="1:14" x14ac:dyDescent="0.2">
      <c r="A4" s="144" t="s">
        <v>55</v>
      </c>
      <c r="B4" s="144"/>
      <c r="C4" s="15"/>
      <c r="D4" s="15"/>
      <c r="E4" s="15"/>
      <c r="F4" s="15"/>
      <c r="G4" s="15"/>
      <c r="H4" s="15"/>
    </row>
    <row r="5" spans="1:14" x14ac:dyDescent="0.2">
      <c r="A5" s="144" t="s">
        <v>51</v>
      </c>
      <c r="B5" s="144"/>
      <c r="C5" s="15"/>
      <c r="D5" s="15"/>
      <c r="E5" s="15"/>
      <c r="F5" s="15"/>
      <c r="G5" s="15"/>
      <c r="H5" s="15"/>
    </row>
    <row r="6" spans="1:14" x14ac:dyDescent="0.2">
      <c r="A6" s="141" t="s">
        <v>128</v>
      </c>
      <c r="B6" s="141"/>
    </row>
    <row r="7" spans="1:14" x14ac:dyDescent="0.2">
      <c r="A7" s="141" t="s">
        <v>129</v>
      </c>
      <c r="B7" s="141"/>
      <c r="C7" s="142"/>
      <c r="D7" s="142"/>
      <c r="E7" s="142"/>
      <c r="F7" s="142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1071" zoomScale="70" zoomScaleNormal="70" workbookViewId="0">
      <selection activeCell="A329" sqref="A329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3" sqref="C3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5" t="s">
        <v>127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</row>
    <row r="2" spans="1:15" x14ac:dyDescent="0.2">
      <c r="A2" s="89" t="s">
        <v>138</v>
      </c>
      <c r="B2" s="47"/>
      <c r="C2" s="46" t="s">
        <v>5449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6"/>
      <c r="C7" s="146"/>
      <c r="D7" s="146"/>
      <c r="E7" s="146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5444</v>
      </c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4598</v>
      </c>
      <c r="B12" s="44" t="str">
        <f>IF(LEN(VLOOKUP(A12,'Species List'!$A:$G,2,FALSE))=0,"",VLOOKUP(A12,'Species List'!$A:$G,2,FALSE))</f>
        <v>American elm</v>
      </c>
      <c r="C12" s="44">
        <f>IF(LEN(VLOOKUP(A12,'Species List'!$A:$G,3,FALSE))=0,"",VLOOKUP(A12,'Species List'!$A:$G,3,FALSE))</f>
        <v>3</v>
      </c>
      <c r="D12" s="103">
        <f>VALUE(C12)</f>
        <v>3</v>
      </c>
      <c r="E12" s="44" t="str">
        <f>IF(LEN(VLOOKUP(A12,'Species List'!$A:$G,4,FALSE))=0,"",VLOOKUP(A12,'Species List'!$A:$G,4,FALSE))</f>
        <v>D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FACW-</v>
      </c>
      <c r="H12" s="44">
        <f>VLOOKUP(A12,'Species List'!$A:$G,7,FALSE)</f>
        <v>0</v>
      </c>
      <c r="J12" s="111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 t="shared" ref="N12:N75" si="0">L12/$L$151</f>
        <v>2.4E-2</v>
      </c>
      <c r="O12" s="88">
        <f>D12*N12</f>
        <v>7.2000000000000008E-2</v>
      </c>
    </row>
    <row r="13" spans="1:15" x14ac:dyDescent="0.2">
      <c r="A13" s="108" t="s">
        <v>656</v>
      </c>
      <c r="B13" s="44" t="str">
        <f>IF(LEN(VLOOKUP(A13,'Species List'!$A:$G,2,FALSE))=0,"",VLOOKUP(A13,'Species List'!$A:$G,2,FALSE))</f>
        <v>paper birch</v>
      </c>
      <c r="C13" s="44">
        <f>IF(LEN(VLOOKUP(A13,'Species List'!$A:$G,3,FALSE))=0,"",VLOOKUP(A13,'Species List'!$A:$G,3,FALSE))</f>
        <v>3</v>
      </c>
      <c r="D13" s="103">
        <f t="shared" ref="D13:D76" si="1">VALUE(C13)</f>
        <v>3</v>
      </c>
      <c r="E13" s="44" t="str">
        <f>IF(LEN(VLOOKUP(A13,'Species List'!$A:$G,4,FALSE))=0,"",VLOOKUP(A13,'Species List'!$A:$G,4,FALSE))</f>
        <v>D</v>
      </c>
      <c r="F13" s="44" t="str">
        <f>IF(LEN(VLOOKUP(A13,'Species List'!$A:$G,5,FALSE))=0,"",VLOOKUP(A13,'Species List'!$A:$G,5,FALSE))</f>
        <v>Native</v>
      </c>
      <c r="G13" s="44" t="str">
        <f>IF(LEN(VLOOKUP(A13,'Species List'!$A:$G,6,FALSE))=0,"",VLOOKUP(A13,'Species List'!$A:$G,6,FALSE))</f>
        <v>[FACU+]</v>
      </c>
      <c r="H13" s="44">
        <f>VLOOKUP(A13,'Species List'!$A:$G,7,FALSE)</f>
        <v>0</v>
      </c>
      <c r="J13" s="111">
        <v>2</v>
      </c>
      <c r="K13" s="47" t="str">
        <f>VLOOKUP(J13,'Species List'!$H$1:$J$9,2,FALSE)</f>
        <v>&gt;5-25%</v>
      </c>
      <c r="L13" s="47">
        <f>VLOOKUP(K13,'Species List'!$I$1:$N$8,2,FALSE)</f>
        <v>15</v>
      </c>
      <c r="M13" s="104">
        <f t="shared" ref="M13:M76" si="2">VALUE(L13)</f>
        <v>15</v>
      </c>
      <c r="N13" s="88">
        <f t="shared" si="0"/>
        <v>0.12</v>
      </c>
      <c r="O13" s="102">
        <f t="shared" ref="O13:O76" si="3">D13*N13</f>
        <v>0.36</v>
      </c>
    </row>
    <row r="14" spans="1:15" x14ac:dyDescent="0.2">
      <c r="A14" s="108" t="s">
        <v>288</v>
      </c>
      <c r="B14" s="44" t="str">
        <f>IF(LEN(VLOOKUP(A14,'Species List'!$A:$G,2,FALSE))=0,"",VLOOKUP(A14,'Species List'!$A:$G,2,FALSE))</f>
        <v>speckled alder</v>
      </c>
      <c r="C14" s="44">
        <f>IF(LEN(VLOOKUP(A14,'Species List'!$A:$G,3,FALSE))=0,"",VLOOKUP(A14,'Species List'!$A:$G,3,FALSE))</f>
        <v>4</v>
      </c>
      <c r="D14" s="103">
        <f t="shared" si="1"/>
        <v>4</v>
      </c>
      <c r="E14" s="44" t="str">
        <f>IF(LEN(VLOOKUP(A14,'Species List'!$A:$G,4,FALSE))=0,"",VLOOKUP(A14,'Species List'!$A:$G,4,FALSE))</f>
        <v>D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</v>
      </c>
      <c r="H14" s="44">
        <f>VLOOKUP(A14,'Species List'!$A:$G,7,FALSE)</f>
        <v>0</v>
      </c>
      <c r="J14" s="111">
        <v>4</v>
      </c>
      <c r="K14" s="47" t="str">
        <f>VLOOKUP(J14,'Species List'!$H$1:$J$9,2,FALSE)</f>
        <v>&gt;50-75%</v>
      </c>
      <c r="L14" s="47">
        <f>VLOOKUP(K14,'Species List'!$I$1:$N$8,2,FALSE)</f>
        <v>62.5</v>
      </c>
      <c r="M14" s="104">
        <f t="shared" si="2"/>
        <v>62.5</v>
      </c>
      <c r="N14" s="88">
        <f t="shared" si="0"/>
        <v>0.5</v>
      </c>
      <c r="O14" s="102">
        <f t="shared" si="3"/>
        <v>2</v>
      </c>
    </row>
    <row r="15" spans="1:15" x14ac:dyDescent="0.2">
      <c r="A15" s="109" t="s">
        <v>2139</v>
      </c>
      <c r="B15" s="44" t="str">
        <f>IF(LEN(VLOOKUP(A15,'Species List'!$A:$G,2,FALSE))=0,"",VLOOKUP(A15,'Species List'!$A:$G,2,FALSE))</f>
        <v/>
      </c>
      <c r="C15" s="44">
        <f>IF(LEN(VLOOKUP(A15,'Species List'!$A:$G,3,FALSE))=0,"",VLOOKUP(A15,'Species List'!$A:$G,3,FALSE))</f>
        <v>0</v>
      </c>
      <c r="D15" s="103">
        <f t="shared" si="1"/>
        <v>0</v>
      </c>
      <c r="E15" s="44" t="str">
        <f>IF(LEN(VLOOKUP(A15,'Species List'!$A:$G,4,FALSE))=0,"",VLOOKUP(A15,'Species List'!$A:$G,4,FALSE))</f>
        <v>D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>[FAC+]</v>
      </c>
      <c r="H15" s="44">
        <f>VLOOKUP(A15,'Species List'!$A:$G,7,FALSE)</f>
        <v>0</v>
      </c>
      <c r="J15" s="111">
        <v>2</v>
      </c>
      <c r="K15" s="47" t="str">
        <f>VLOOKUP(J15,'Species List'!$H$1:$J$9,2,FALSE)</f>
        <v>&gt;5-25%</v>
      </c>
      <c r="L15" s="47">
        <f>VLOOKUP(K15,'Species List'!$I$1:$N$8,2,FALSE)</f>
        <v>15</v>
      </c>
      <c r="M15" s="104">
        <f t="shared" si="2"/>
        <v>15</v>
      </c>
      <c r="N15" s="88">
        <f t="shared" si="0"/>
        <v>0.12</v>
      </c>
      <c r="O15" s="102">
        <f t="shared" si="3"/>
        <v>0</v>
      </c>
    </row>
    <row r="16" spans="1:15" x14ac:dyDescent="0.2">
      <c r="A16" s="108" t="s">
        <v>5440</v>
      </c>
      <c r="B16" s="44" t="e">
        <f>IF(LEN(VLOOKUP(A16,'Species List'!$A:$G,2,FALSE))=0,"",VLOOKUP(A16,'Species List'!$A:$G,2,FALSE))</f>
        <v>#N/A</v>
      </c>
      <c r="C16" s="44">
        <v>2</v>
      </c>
      <c r="D16" s="103">
        <f t="shared" si="1"/>
        <v>2</v>
      </c>
      <c r="E16" s="44" t="e">
        <f>IF(LEN(VLOOKUP(A16,'Species List'!$A:$G,4,FALSE))=0,"",VLOOKUP(A16,'Species List'!$A:$G,4,FALSE))</f>
        <v>#N/A</v>
      </c>
      <c r="F16" s="44" t="s">
        <v>147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111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88">
        <f t="shared" si="0"/>
        <v>2.4E-2</v>
      </c>
      <c r="O16" s="102">
        <f t="shared" si="3"/>
        <v>4.8000000000000001E-2</v>
      </c>
    </row>
    <row r="17" spans="1:15" x14ac:dyDescent="0.2">
      <c r="A17" s="110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1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111"/>
      <c r="K17" s="47" t="e">
        <f>VLOOKUP(J17,'Species List'!$H$1:$J$9,2,FALSE)</f>
        <v>#N/A</v>
      </c>
      <c r="L17" s="47" t="e">
        <f>VLOOKUP(K17,'Species List'!$I$1:$N$8,2,FALSE)</f>
        <v>#N/A</v>
      </c>
      <c r="M17" s="104" t="e">
        <f t="shared" si="2"/>
        <v>#N/A</v>
      </c>
      <c r="N17" s="88" t="e">
        <f t="shared" si="0"/>
        <v>#N/A</v>
      </c>
      <c r="O17" s="102" t="e">
        <f t="shared" si="3"/>
        <v>#N/A</v>
      </c>
    </row>
    <row r="18" spans="1:15" x14ac:dyDescent="0.2">
      <c r="A18" s="108" t="s">
        <v>3757</v>
      </c>
      <c r="B18" s="44" t="str">
        <f>IF(LEN(VLOOKUP(A18,'Species List'!$A:$G,2,FALSE))=0,"",VLOOKUP(A18,'Species List'!$A:$G,2,FALSE))</f>
        <v>common buckthorn</v>
      </c>
      <c r="C18" s="44">
        <f>IF(LEN(VLOOKUP(A18,'Species List'!$A:$G,3,FALSE))=0,"",VLOOKUP(A18,'Species List'!$A:$G,3,FALSE))</f>
        <v>0</v>
      </c>
      <c r="D18" s="103">
        <f t="shared" si="1"/>
        <v>0</v>
      </c>
      <c r="E18" s="44" t="str">
        <f>IF(LEN(VLOOKUP(A18,'Species List'!$A:$G,4,FALSE))=0,"",VLOOKUP(A18,'Species List'!$A:$G,4,FALSE))</f>
        <v>D</v>
      </c>
      <c r="F18" s="44" t="str">
        <f>IF(LEN(VLOOKUP(A18,'Species List'!$A:$G,5,FALSE))=0,"",VLOOKUP(A18,'Species List'!$A:$G,5,FALSE))</f>
        <v>Introduced</v>
      </c>
      <c r="G18" s="44" t="str">
        <f>IF(LEN(VLOOKUP(A18,'Species List'!$A:$G,6,FALSE))=0,"",VLOOKUP(A18,'Species List'!$A:$G,6,FALSE))</f>
        <v>FACU</v>
      </c>
      <c r="H18" s="44">
        <f>VLOOKUP(A18,'Species List'!$A:$G,7,FALSE)</f>
        <v>0</v>
      </c>
      <c r="J18" s="111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88">
        <f t="shared" si="0"/>
        <v>2.4E-2</v>
      </c>
      <c r="O18" s="102">
        <f t="shared" si="3"/>
        <v>0</v>
      </c>
    </row>
    <row r="19" spans="1:15" x14ac:dyDescent="0.2">
      <c r="A19" s="108" t="s">
        <v>5441</v>
      </c>
      <c r="B19" s="44" t="e">
        <f>IF(LEN(VLOOKUP(A19,'Species List'!$A:$G,2,FALSE))=0,"",VLOOKUP(A19,'Species List'!$A:$G,2,FALSE))</f>
        <v>#N/A</v>
      </c>
      <c r="C19" s="44">
        <v>0</v>
      </c>
      <c r="D19" s="103">
        <f t="shared" si="1"/>
        <v>0</v>
      </c>
      <c r="E19" s="44" t="e">
        <f>IF(LEN(VLOOKUP(A19,'Species List'!$A:$G,4,FALSE))=0,"",VLOOKUP(A19,'Species List'!$A:$G,4,FALSE))</f>
        <v>#N/A</v>
      </c>
      <c r="F19" s="44" t="s">
        <v>152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111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2"/>
        <v>3</v>
      </c>
      <c r="N19" s="88">
        <f t="shared" si="0"/>
        <v>2.4E-2</v>
      </c>
      <c r="O19" s="102">
        <f t="shared" si="3"/>
        <v>0</v>
      </c>
    </row>
    <row r="20" spans="1:15" x14ac:dyDescent="0.2">
      <c r="A20" s="108" t="s">
        <v>2595</v>
      </c>
      <c r="B20" s="44" t="str">
        <f>IF(LEN(VLOOKUP(A20,'Species List'!$A:$G,2,FALSE))=0,"",VLOOKUP(A20,'Species List'!$A:$G,2,FALSE))</f>
        <v>tamarack</v>
      </c>
      <c r="C20" s="44">
        <f>IF(LEN(VLOOKUP(A20,'Species List'!$A:$G,3,FALSE))=0,"",VLOOKUP(A20,'Species List'!$A:$G,3,FALSE))</f>
        <v>7</v>
      </c>
      <c r="D20" s="103">
        <f t="shared" si="1"/>
        <v>7</v>
      </c>
      <c r="E20" s="44" t="str">
        <f>IF(LEN(VLOOKUP(A20,'Species List'!$A:$G,4,FALSE))=0,"",VLOOKUP(A20,'Species List'!$A:$G,4,FALSE))</f>
        <v>E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FACW</v>
      </c>
      <c r="H20" s="44">
        <f>VLOOKUP(A20,'Species List'!$A:$G,7,FALSE)</f>
        <v>0</v>
      </c>
      <c r="J20" s="111" t="s">
        <v>5420</v>
      </c>
      <c r="K20" s="47" t="str">
        <f>VLOOKUP(J20,'Species List'!$H$1:$J$9,2,FALSE)</f>
        <v>&gt;0-1%</v>
      </c>
      <c r="L20" s="47">
        <f>VLOOKUP(K20,'Species List'!$I$1:$N$8,2,FALSE)</f>
        <v>0.5</v>
      </c>
      <c r="M20" s="104">
        <f t="shared" si="2"/>
        <v>0.5</v>
      </c>
      <c r="N20" s="88">
        <f t="shared" si="0"/>
        <v>4.0000000000000001E-3</v>
      </c>
      <c r="O20" s="102">
        <f t="shared" si="3"/>
        <v>2.8000000000000001E-2</v>
      </c>
    </row>
    <row r="21" spans="1:15" x14ac:dyDescent="0.2">
      <c r="A21" s="108" t="s">
        <v>5442</v>
      </c>
      <c r="B21" s="44" t="e">
        <f>IF(LEN(VLOOKUP(A21,'Species List'!$A:$G,2,FALSE))=0,"",VLOOKUP(A21,'Species List'!$A:$G,2,FALSE))</f>
        <v>#N/A</v>
      </c>
      <c r="C21" s="44">
        <v>3</v>
      </c>
      <c r="D21" s="103">
        <f t="shared" si="1"/>
        <v>3</v>
      </c>
      <c r="E21" s="44" t="e">
        <f>IF(LEN(VLOOKUP(A21,'Species List'!$A:$G,4,FALSE))=0,"",VLOOKUP(A21,'Species List'!$A:$G,4,FALSE))</f>
        <v>#N/A</v>
      </c>
      <c r="F21" s="44" t="s">
        <v>147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111" t="s">
        <v>5420</v>
      </c>
      <c r="K21" s="47" t="str">
        <f>VLOOKUP(J21,'Species List'!$H$1:$J$9,2,FALSE)</f>
        <v>&gt;0-1%</v>
      </c>
      <c r="L21" s="47">
        <f>VLOOKUP(K21,'Species List'!$I$1:$N$8,2,FALSE)</f>
        <v>0.5</v>
      </c>
      <c r="M21" s="104">
        <f t="shared" si="2"/>
        <v>0.5</v>
      </c>
      <c r="N21" s="88">
        <f t="shared" si="0"/>
        <v>4.0000000000000001E-3</v>
      </c>
      <c r="O21" s="102">
        <f t="shared" si="3"/>
        <v>1.2E-2</v>
      </c>
    </row>
    <row r="22" spans="1:15" x14ac:dyDescent="0.2">
      <c r="A22" s="108" t="s">
        <v>2145</v>
      </c>
      <c r="B22" s="44" t="str">
        <f>IF(LEN(VLOOKUP(A22,'Species List'!$A:$G,2,FALSE))=0,"",VLOOKUP(A22,'Species List'!$A:$G,2,FALSE))</f>
        <v>green ash</v>
      </c>
      <c r="C22" s="44">
        <f>IF(LEN(VLOOKUP(A22,'Species List'!$A:$G,3,FALSE))=0,"",VLOOKUP(A22,'Species List'!$A:$G,3,FALSE))</f>
        <v>2</v>
      </c>
      <c r="D22" s="103">
        <f t="shared" si="1"/>
        <v>2</v>
      </c>
      <c r="E22" s="44" t="str">
        <f>IF(LEN(VLOOKUP(A22,'Species List'!$A:$G,4,FALSE))=0,"",VLOOKUP(A22,'Species List'!$A:$G,4,FALSE))</f>
        <v>D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</v>
      </c>
      <c r="H22" s="44">
        <f>VLOOKUP(A22,'Species List'!$A:$G,7,FALSE)</f>
        <v>0</v>
      </c>
      <c r="J22" s="111" t="s">
        <v>5420</v>
      </c>
      <c r="K22" s="47" t="str">
        <f>VLOOKUP(J22,'Species List'!$H$1:$J$9,2,FALSE)</f>
        <v>&gt;0-1%</v>
      </c>
      <c r="L22" s="47">
        <f>VLOOKUP(K22,'Species List'!$I$1:$N$8,2,FALSE)</f>
        <v>0.5</v>
      </c>
      <c r="M22" s="104">
        <f t="shared" si="2"/>
        <v>0.5</v>
      </c>
      <c r="N22" s="88">
        <f t="shared" si="0"/>
        <v>4.0000000000000001E-3</v>
      </c>
      <c r="O22" s="102">
        <f t="shared" si="3"/>
        <v>8.0000000000000002E-3</v>
      </c>
    </row>
    <row r="23" spans="1:15" x14ac:dyDescent="0.2">
      <c r="A23" s="108" t="s">
        <v>1465</v>
      </c>
      <c r="B23" s="44" t="str">
        <f>IF(LEN(VLOOKUP(A23,'Species List'!$A:$G,2,FALSE))=0,"",VLOOKUP(A23,'Species List'!$A:$G,2,FALSE))</f>
        <v>red-osier dogwood</v>
      </c>
      <c r="C23" s="44">
        <f>IF(LEN(VLOOKUP(A23,'Species List'!$A:$G,3,FALSE))=0,"",VLOOKUP(A23,'Species List'!$A:$G,3,FALSE))</f>
        <v>3</v>
      </c>
      <c r="D23" s="103">
        <f t="shared" si="1"/>
        <v>3</v>
      </c>
      <c r="E23" s="44" t="str">
        <f>IF(LEN(VLOOKUP(A23,'Species List'!$A:$G,4,FALSE))=0,"",VLOOKUP(A23,'Species List'!$A:$G,4,FALSE))</f>
        <v>D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[FACW]</v>
      </c>
      <c r="H23" s="44">
        <f>VLOOKUP(A23,'Species List'!$A:$G,7,FALSE)</f>
        <v>0</v>
      </c>
      <c r="J23" s="111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2"/>
        <v>3</v>
      </c>
      <c r="N23" s="88">
        <f t="shared" si="0"/>
        <v>2.4E-2</v>
      </c>
      <c r="O23" s="102">
        <f t="shared" si="3"/>
        <v>7.2000000000000008E-2</v>
      </c>
    </row>
    <row r="24" spans="1:15" x14ac:dyDescent="0.2">
      <c r="A24" s="109" t="s">
        <v>3777</v>
      </c>
      <c r="B24" s="44" t="str">
        <f>IF(LEN(VLOOKUP(A24,'Species List'!$A:$G,2,FALSE))=0,"",VLOOKUP(A24,'Species List'!$A:$G,2,FALSE))</f>
        <v>wild black currant</v>
      </c>
      <c r="C24" s="44">
        <f>IF(LEN(VLOOKUP(A24,'Species List'!$A:$G,3,FALSE))=0,"",VLOOKUP(A24,'Species List'!$A:$G,3,FALSE))</f>
        <v>4</v>
      </c>
      <c r="D24" s="103">
        <f t="shared" si="1"/>
        <v>4</v>
      </c>
      <c r="E24" s="44" t="str">
        <f>IF(LEN(VLOOKUP(A24,'Species List'!$A:$G,4,FALSE))=0,"",VLOOKUP(A24,'Species List'!$A:$G,4,FALSE))</f>
        <v>D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FACW</v>
      </c>
      <c r="H24" s="44">
        <f>VLOOKUP(A24,'Species List'!$A:$G,7,FALSE)</f>
        <v>0</v>
      </c>
      <c r="J24" s="111" t="s">
        <v>5418</v>
      </c>
      <c r="K24" s="47" t="str">
        <f>VLOOKUP(J24,'Species List'!$H$1:$J$9,2,FALSE)</f>
        <v>&gt;1-5%</v>
      </c>
      <c r="L24" s="47">
        <f>VLOOKUP(K24,'Species List'!$I$1:$N$8,2,FALSE)</f>
        <v>3</v>
      </c>
      <c r="M24" s="104">
        <f t="shared" si="2"/>
        <v>3</v>
      </c>
      <c r="N24" s="88">
        <f t="shared" si="0"/>
        <v>2.4E-2</v>
      </c>
      <c r="O24" s="102">
        <f t="shared" si="3"/>
        <v>9.6000000000000002E-2</v>
      </c>
    </row>
    <row r="25" spans="1:15" x14ac:dyDescent="0.2">
      <c r="A25" s="109" t="s">
        <v>3691</v>
      </c>
      <c r="B25" s="44" t="str">
        <f>IF(LEN(VLOOKUP(A25,'Species List'!$A:$G,2,FALSE))=0,"",VLOOKUP(A25,'Species List'!$A:$G,2,FALSE))</f>
        <v>northern pin oak</v>
      </c>
      <c r="C25" s="44">
        <f>IF(LEN(VLOOKUP(A25,'Species List'!$A:$G,3,FALSE))=0,"",VLOOKUP(A25,'Species List'!$A:$G,3,FALSE))</f>
        <v>5</v>
      </c>
      <c r="D25" s="103">
        <f t="shared" si="1"/>
        <v>5</v>
      </c>
      <c r="E25" s="44" t="str">
        <f>IF(LEN(VLOOKUP(A25,'Species List'!$A:$G,4,FALSE))=0,"",VLOOKUP(A25,'Species List'!$A:$G,4,FALSE))</f>
        <v>D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/>
      </c>
      <c r="H25" s="44">
        <f>VLOOKUP(A25,'Species List'!$A:$G,7,FALSE)</f>
        <v>0</v>
      </c>
      <c r="J25" s="111" t="s">
        <v>5418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2"/>
        <v>3</v>
      </c>
      <c r="N25" s="88">
        <f t="shared" si="0"/>
        <v>2.4E-2</v>
      </c>
      <c r="O25" s="102">
        <f t="shared" si="3"/>
        <v>0.12</v>
      </c>
    </row>
    <row r="26" spans="1:15" x14ac:dyDescent="0.2">
      <c r="A26" s="109" t="s">
        <v>3863</v>
      </c>
      <c r="B26" s="44" t="str">
        <f>IF(LEN(VLOOKUP(A26,'Species List'!$A:$G,2,FALSE))=0,"",VLOOKUP(A26,'Species List'!$A:$G,2,FALSE))</f>
        <v>dwarf raspberry</v>
      </c>
      <c r="C26" s="44">
        <f>IF(LEN(VLOOKUP(A26,'Species List'!$A:$G,3,FALSE))=0,"",VLOOKUP(A26,'Species List'!$A:$G,3,FALSE))</f>
        <v>6</v>
      </c>
      <c r="D26" s="103">
        <f t="shared" si="1"/>
        <v>6</v>
      </c>
      <c r="E26" s="44" t="str">
        <f>IF(LEN(VLOOKUP(A26,'Species List'!$A:$G,4,FALSE))=0,"",VLOOKUP(A26,'Species List'!$A:$G,4,FALSE))</f>
        <v>H</v>
      </c>
      <c r="F26" s="44" t="str">
        <f>IF(LEN(VLOOKUP(A26,'Species List'!$A:$G,5,FALSE))=0,"",VLOOKUP(A26,'Species List'!$A:$G,5,FALSE))</f>
        <v>Native</v>
      </c>
      <c r="G26" s="44" t="str">
        <f>IF(LEN(VLOOKUP(A26,'Species List'!$A:$G,6,FALSE))=0,"",VLOOKUP(A26,'Species List'!$A:$G,6,FALSE))</f>
        <v>[FACW+]</v>
      </c>
      <c r="H26" s="44">
        <f>VLOOKUP(A26,'Species List'!$A:$G,7,FALSE)</f>
        <v>0</v>
      </c>
      <c r="J26" s="111">
        <v>1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2"/>
        <v>3</v>
      </c>
      <c r="N26" s="88">
        <f t="shared" si="0"/>
        <v>2.4E-2</v>
      </c>
      <c r="O26" s="102">
        <f t="shared" si="3"/>
        <v>0.14400000000000002</v>
      </c>
    </row>
    <row r="27" spans="1:15" x14ac:dyDescent="0.2">
      <c r="A27" s="108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1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111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88" t="e">
        <f t="shared" si="0"/>
        <v>#N/A</v>
      </c>
      <c r="O27" s="102" t="e">
        <f t="shared" si="3"/>
        <v>#N/A</v>
      </c>
    </row>
    <row r="28" spans="1:15" x14ac:dyDescent="0.2">
      <c r="A28" s="108" t="s">
        <v>3851</v>
      </c>
      <c r="B28" s="44" t="str">
        <f>IF(LEN(VLOOKUP(A28,'Species List'!$A:$G,2,FALSE))=0,"",VLOOKUP(A28,'Species List'!$A:$G,2,FALSE))</f>
        <v/>
      </c>
      <c r="C28" s="44">
        <f>IF(LEN(VLOOKUP(A28,'Species List'!$A:$G,3,FALSE))=0,"",VLOOKUP(A28,'Species List'!$A:$G,3,FALSE))</f>
        <v>3</v>
      </c>
      <c r="D28" s="103">
        <f t="shared" si="1"/>
        <v>3</v>
      </c>
      <c r="E28" s="44" t="str">
        <f>IF(LEN(VLOOKUP(A28,'Species List'!$A:$G,4,FALSE))=0,"",VLOOKUP(A28,'Species List'!$A:$G,4,FALSE))</f>
        <v>D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FACU</v>
      </c>
      <c r="H28" s="44">
        <f>VLOOKUP(A28,'Species List'!$A:$G,7,FALSE)</f>
        <v>0</v>
      </c>
      <c r="J28" s="111" t="s">
        <v>5418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2"/>
        <v>3</v>
      </c>
      <c r="N28" s="88">
        <f t="shared" si="0"/>
        <v>2.4E-2</v>
      </c>
      <c r="O28" s="102">
        <f t="shared" si="3"/>
        <v>7.2000000000000008E-2</v>
      </c>
    </row>
    <row r="29" spans="1:15" x14ac:dyDescent="0.2">
      <c r="A29" s="108" t="s">
        <v>3979</v>
      </c>
      <c r="B29" s="44" t="str">
        <f>IF(LEN(VLOOKUP(A29,'Species List'!$A:$G,2,FALSE))=0,"",VLOOKUP(A29,'Species List'!$A:$G,2,FALSE))</f>
        <v>slender willow</v>
      </c>
      <c r="C29" s="44">
        <f>IF(LEN(VLOOKUP(A29,'Species List'!$A:$G,3,FALSE))=0,"",VLOOKUP(A29,'Species List'!$A:$G,3,FALSE))</f>
        <v>5</v>
      </c>
      <c r="D29" s="103">
        <f t="shared" si="1"/>
        <v>5</v>
      </c>
      <c r="E29" s="44" t="str">
        <f>IF(LEN(VLOOKUP(A29,'Species List'!$A:$G,4,FALSE))=0,"",VLOOKUP(A29,'Species List'!$A:$G,4,FALSE))</f>
        <v>D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FACW+</v>
      </c>
      <c r="H29" s="44">
        <f>VLOOKUP(A29,'Species List'!$A:$G,7,FALSE)</f>
        <v>0</v>
      </c>
      <c r="J29" s="111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2"/>
        <v>3</v>
      </c>
      <c r="N29" s="88">
        <f t="shared" si="0"/>
        <v>2.4E-2</v>
      </c>
      <c r="O29" s="102">
        <f t="shared" si="3"/>
        <v>0.12</v>
      </c>
    </row>
    <row r="30" spans="1:15" x14ac:dyDescent="0.2">
      <c r="A30" s="108" t="s">
        <v>4703</v>
      </c>
      <c r="B30" s="44" t="str">
        <f>IF(LEN(VLOOKUP(A30,'Species List'!$A:$G,2,FALSE))=0,"",VLOOKUP(A30,'Species List'!$A:$G,2,FALSE))</f>
        <v/>
      </c>
      <c r="C30" s="44">
        <f>IF(LEN(VLOOKUP(A30,'Species List'!$A:$G,3,FALSE))=0,"",VLOOKUP(A30,'Species List'!$A:$G,3,FALSE))</f>
        <v>5</v>
      </c>
      <c r="D30" s="103">
        <f t="shared" si="1"/>
        <v>5</v>
      </c>
      <c r="E30" s="44" t="str">
        <f>IF(LEN(VLOOKUP(A30,'Species List'!$A:$G,4,FALSE))=0,"",VLOOKUP(A30,'Species List'!$A:$G,4,FALSE))</f>
        <v>D</v>
      </c>
      <c r="F30" s="44" t="str">
        <f>IF(LEN(VLOOKUP(A30,'Species List'!$A:$G,5,FALSE))=0,"",VLOOKUP(A30,'Species List'!$A:$G,5,FALSE))</f>
        <v>Native</v>
      </c>
      <c r="G30" s="44" t="str">
        <f>IF(LEN(VLOOKUP(A30,'Species List'!$A:$G,6,FALSE))=0,"",VLOOKUP(A30,'Species List'!$A:$G,6,FALSE))</f>
        <v>[FACW]</v>
      </c>
      <c r="H30" s="44">
        <f>VLOOKUP(A30,'Species List'!$A:$G,7,FALSE)</f>
        <v>0</v>
      </c>
      <c r="J30" s="111" t="s">
        <v>5420</v>
      </c>
      <c r="K30" s="47" t="str">
        <f>VLOOKUP(J30,'Species List'!$H$1:$J$9,2,FALSE)</f>
        <v>&gt;0-1%</v>
      </c>
      <c r="L30" s="47">
        <f>VLOOKUP(K30,'Species List'!$I$1:$N$8,2,FALSE)</f>
        <v>0.5</v>
      </c>
      <c r="M30" s="104">
        <f t="shared" si="2"/>
        <v>0.5</v>
      </c>
      <c r="N30" s="88">
        <f t="shared" si="0"/>
        <v>4.0000000000000001E-3</v>
      </c>
      <c r="O30" s="102">
        <f t="shared" si="3"/>
        <v>0.02</v>
      </c>
    </row>
    <row r="31" spans="1:15" x14ac:dyDescent="0.2">
      <c r="A31" s="112" t="s">
        <v>5433</v>
      </c>
      <c r="B31" s="44" t="str">
        <f>IF(LEN(VLOOKUP(A31,'Species List'!$A:$G,2,FALSE))=0,"",VLOOKUP(A31,'Species List'!$A:$G,2,FALSE))</f>
        <v>woodbine</v>
      </c>
      <c r="C31" s="44">
        <f>IF(LEN(VLOOKUP(A31,'Species List'!$A:$G,3,FALSE))=0,"",VLOOKUP(A31,'Species List'!$A:$G,3,FALSE))</f>
        <v>2</v>
      </c>
      <c r="D31" s="103">
        <f t="shared" si="1"/>
        <v>2</v>
      </c>
      <c r="E31" s="44" t="str">
        <f>IF(LEN(VLOOKUP(A31,'Species List'!$A:$G,4,FALSE))=0,"",VLOOKUP(A31,'Species List'!$A:$G,4,FALSE))</f>
        <v>C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FACU</v>
      </c>
      <c r="H31" s="44">
        <f>VLOOKUP(A31,'Species List'!$A:$G,7,FALSE)</f>
        <v>0</v>
      </c>
      <c r="J31" s="111" t="s">
        <v>5420</v>
      </c>
      <c r="K31" s="47" t="str">
        <f>VLOOKUP(J31,'Species List'!$H$1:$J$9,2,FALSE)</f>
        <v>&gt;0-1%</v>
      </c>
      <c r="L31" s="47">
        <f>VLOOKUP(K31,'Species List'!$I$1:$N$8,2,FALSE)</f>
        <v>0.5</v>
      </c>
      <c r="M31" s="104">
        <f t="shared" si="2"/>
        <v>0.5</v>
      </c>
      <c r="N31" s="88">
        <f t="shared" si="0"/>
        <v>4.0000000000000001E-3</v>
      </c>
      <c r="O31" s="102">
        <f t="shared" si="3"/>
        <v>8.0000000000000002E-3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47" t="s">
        <v>5387</v>
      </c>
      <c r="J151" s="148"/>
      <c r="K151" s="149"/>
      <c r="L151" s="63">
        <f>SUMIF(L10:L150,"&gt;=0")</f>
        <v>125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A27:A150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workbookViewId="0">
      <selection activeCell="F31" sqref="F31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45" t="s">
        <v>127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46"/>
      <c r="C7" s="146"/>
      <c r="D7" s="146"/>
      <c r="E7" s="146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5443</v>
      </c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8" t="s">
        <v>4594</v>
      </c>
      <c r="B12" s="44" t="str">
        <f>IF(LEN(VLOOKUP(A12,'Species List'!$A:$G,2,FALSE))=0,"",VLOOKUP(A12,'Species List'!$A:$G,2,FALSE))</f>
        <v>broad-leaved cattail</v>
      </c>
      <c r="C12" s="44">
        <f>IF(LEN(VLOOKUP(A12,'Species List'!$A:$G,3,FALSE))=0,"",VLOOKUP(A12,'Species List'!$A:$G,3,FALSE))</f>
        <v>2</v>
      </c>
      <c r="D12" s="103">
        <f>VALUE(C12)</f>
        <v>2</v>
      </c>
      <c r="E12" s="44" t="str">
        <f>IF(LEN(VLOOKUP(A12,'Species List'!$A:$G,4,FALSE))=0,"",VLOOKUP(A12,'Species List'!$A:$G,4,FALSE))</f>
        <v>H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OBL</v>
      </c>
      <c r="H12" s="44">
        <f>VLOOKUP(A12,'Species List'!$A:$G,7,FALSE)</f>
        <v>0</v>
      </c>
      <c r="J12" s="95" t="s">
        <v>5418</v>
      </c>
      <c r="K12" s="47" t="str">
        <f>VLOOKUP(J12,'Species List'!$H$1:$J$9,2,FALSE)</f>
        <v>&gt;1-5%</v>
      </c>
      <c r="L12" s="47">
        <f>VLOOKUP(K12,'Species List'!$I$1:$N$8,2,FALSE)</f>
        <v>3</v>
      </c>
      <c r="M12" s="104">
        <f>VALUE(L12)</f>
        <v>3</v>
      </c>
      <c r="N12" s="88">
        <f>L12/$L$151</f>
        <v>1.5544041450777202E-2</v>
      </c>
      <c r="O12" s="88">
        <f>D12*N12</f>
        <v>3.1088082901554404E-2</v>
      </c>
    </row>
    <row r="13" spans="1:15" x14ac:dyDescent="0.2">
      <c r="A13" s="108" t="s">
        <v>5445</v>
      </c>
      <c r="B13" s="44" t="e">
        <f>IF(LEN(VLOOKUP(A13,'Species List'!$A:$G,2,FALSE))=0,"",VLOOKUP(A13,'Species List'!$A:$G,2,FALSE))</f>
        <v>#N/A</v>
      </c>
      <c r="C13" s="44">
        <v>0</v>
      </c>
      <c r="D13" s="103">
        <f t="shared" ref="D13:D76" si="0">VALUE(C13)</f>
        <v>0</v>
      </c>
      <c r="E13" s="44" t="e">
        <f>IF(LEN(VLOOKUP(A13,'Species List'!$A:$G,4,FALSE))=0,"",VLOOKUP(A13,'Species List'!$A:$G,4,FALSE))</f>
        <v>#N/A</v>
      </c>
      <c r="F13" s="44" t="s">
        <v>152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95" t="s">
        <v>5418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1">VALUE(L13)</f>
        <v>3</v>
      </c>
      <c r="N13" s="102">
        <f t="shared" ref="N13:N76" si="2">L13/$L$151</f>
        <v>1.5544041450777202E-2</v>
      </c>
      <c r="O13" s="102">
        <f t="shared" ref="O13:O76" si="3">D13*N13</f>
        <v>0</v>
      </c>
    </row>
    <row r="14" spans="1:15" ht="13.2" x14ac:dyDescent="0.25">
      <c r="A14" s="36" t="s">
        <v>2475</v>
      </c>
      <c r="B14" s="44" t="str">
        <f>IF(LEN(VLOOKUP(A14,'Species List'!$A:$G,2,FALSE))=0,"",VLOOKUP(A14,'Species List'!$A:$G,2,FALSE))</f>
        <v>spotted touch-me-not</v>
      </c>
      <c r="C14" s="44">
        <f>IF(LEN(VLOOKUP(A14,'Species List'!$A:$G,3,FALSE))=0,"",VLOOKUP(A14,'Species List'!$A:$G,3,FALSE))</f>
        <v>2</v>
      </c>
      <c r="D14" s="103">
        <f t="shared" si="0"/>
        <v>2</v>
      </c>
      <c r="E14" s="44" t="str">
        <f>IF(LEN(VLOOKUP(A14,'Species List'!$A:$G,4,FALSE))=0,"",VLOOKUP(A14,'Species List'!$A:$G,4,FALSE))</f>
        <v>H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FACW</v>
      </c>
      <c r="H14" s="44">
        <f>VLOOKUP(A14,'Species List'!$A:$G,7,FALSE)</f>
        <v>0</v>
      </c>
      <c r="J14" s="118">
        <v>4</v>
      </c>
      <c r="K14" s="47" t="str">
        <f>VLOOKUP(J14,'Species List'!$H$1:$J$9,2,FALSE)</f>
        <v>&gt;50-75%</v>
      </c>
      <c r="L14" s="47">
        <f>VLOOKUP(K14,'Species List'!$I$1:$N$8,2,FALSE)</f>
        <v>62.5</v>
      </c>
      <c r="M14" s="104">
        <f t="shared" si="1"/>
        <v>62.5</v>
      </c>
      <c r="N14" s="102">
        <f t="shared" si="2"/>
        <v>0.32383419689119169</v>
      </c>
      <c r="O14" s="102">
        <f t="shared" si="3"/>
        <v>0.64766839378238339</v>
      </c>
    </row>
    <row r="15" spans="1:15" x14ac:dyDescent="0.2">
      <c r="A15" s="108" t="s">
        <v>4427</v>
      </c>
      <c r="B15" s="44" t="str">
        <f>IF(LEN(VLOOKUP(A15,'Species List'!$A:$G,2,FALSE))=0,"",VLOOKUP(A15,'Species List'!$A:$G,2,FALSE))</f>
        <v>New England aster</v>
      </c>
      <c r="C15" s="44">
        <f>IF(LEN(VLOOKUP(A15,'Species List'!$A:$G,3,FALSE))=0,"",VLOOKUP(A15,'Species List'!$A:$G,3,FALSE))</f>
        <v>3</v>
      </c>
      <c r="D15" s="103">
        <f t="shared" si="0"/>
        <v>3</v>
      </c>
      <c r="E15" s="44" t="str">
        <f>IF(LEN(VLOOKUP(A15,'Species List'!$A:$G,4,FALSE))=0,"",VLOOKUP(A15,'Species List'!$A:$G,4,FALSE))</f>
        <v>H</v>
      </c>
      <c r="F15" s="44" t="str">
        <f>IF(LEN(VLOOKUP(A15,'Species List'!$A:$G,5,FALSE))=0,"",VLOOKUP(A15,'Species List'!$A:$G,5,FALSE))</f>
        <v>Native</v>
      </c>
      <c r="G15" s="44" t="str">
        <f>IF(LEN(VLOOKUP(A15,'Species List'!$A:$G,6,FALSE))=0,"",VLOOKUP(A15,'Species List'!$A:$G,6,FALSE))</f>
        <v>[FACW]</v>
      </c>
      <c r="H15" s="44">
        <f>VLOOKUP(A15,'Species List'!$A:$G,7,FALSE)</f>
        <v>0</v>
      </c>
      <c r="J15" s="118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1"/>
        <v>3</v>
      </c>
      <c r="N15" s="102">
        <f t="shared" si="2"/>
        <v>1.5544041450777202E-2</v>
      </c>
      <c r="O15" s="102">
        <f t="shared" si="3"/>
        <v>4.6632124352331605E-2</v>
      </c>
    </row>
    <row r="16" spans="1:15" x14ac:dyDescent="0.2">
      <c r="A16" s="108" t="s">
        <v>3353</v>
      </c>
      <c r="B16" s="44" t="str">
        <f>IF(LEN(VLOOKUP(A16,'Species List'!$A:$G,2,FALSE))=0,"",VLOOKUP(A16,'Species List'!$A:$G,2,FALSE))</f>
        <v>dwarf clearweed</v>
      </c>
      <c r="C16" s="44">
        <f>IF(LEN(VLOOKUP(A16,'Species List'!$A:$G,3,FALSE))=0,"",VLOOKUP(A16,'Species List'!$A:$G,3,FALSE))</f>
        <v>3</v>
      </c>
      <c r="D16" s="103">
        <f t="shared" si="0"/>
        <v>3</v>
      </c>
      <c r="E16" s="44" t="str">
        <f>IF(LEN(VLOOKUP(A16,'Species List'!$A:$G,4,FALSE))=0,"",VLOOKUP(A16,'Species List'!$A:$G,4,FALSE))</f>
        <v>H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>[FACW]</v>
      </c>
      <c r="H16" s="44">
        <f>VLOOKUP(A16,'Species List'!$A:$G,7,FALSE)</f>
        <v>0</v>
      </c>
      <c r="J16" s="118">
        <v>1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1"/>
        <v>3</v>
      </c>
      <c r="N16" s="102">
        <f t="shared" si="2"/>
        <v>1.5544041450777202E-2</v>
      </c>
      <c r="O16" s="102">
        <f t="shared" si="3"/>
        <v>4.6632124352331605E-2</v>
      </c>
    </row>
    <row r="17" spans="1:15" x14ac:dyDescent="0.2">
      <c r="A17" s="108" t="s">
        <v>3273</v>
      </c>
      <c r="B17" s="44" t="str">
        <f>IF(LEN(VLOOKUP(A17,'Species List'!$A:$G,2,FALSE))=0,"",VLOOKUP(A17,'Species List'!$A:$G,2,FALSE))</f>
        <v>arrow-leaved tearthumb</v>
      </c>
      <c r="C17" s="44">
        <f>IF(LEN(VLOOKUP(A17,'Species List'!$A:$G,3,FALSE))=0,"",VLOOKUP(A17,'Species List'!$A:$G,3,FALSE))</f>
        <v>4</v>
      </c>
      <c r="D17" s="103">
        <f t="shared" si="0"/>
        <v>4</v>
      </c>
      <c r="E17" s="44" t="str">
        <f>IF(LEN(VLOOKUP(A17,'Species List'!$A:$G,4,FALSE))=0,"",VLOOKUP(A17,'Species List'!$A:$G,4,FALSE))</f>
        <v>H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OBL</v>
      </c>
      <c r="H17" s="44">
        <f>VLOOKUP(A17,'Species List'!$A:$G,7,FALSE)</f>
        <v>0</v>
      </c>
      <c r="J17" s="118">
        <v>3</v>
      </c>
      <c r="K17" s="47" t="str">
        <f>VLOOKUP(J17,'Species List'!$H$1:$J$9,2,FALSE)</f>
        <v>&gt;25-50%</v>
      </c>
      <c r="L17" s="47">
        <f>VLOOKUP(K17,'Species List'!$I$1:$N$8,2,FALSE)</f>
        <v>37.5</v>
      </c>
      <c r="M17" s="104">
        <f t="shared" si="1"/>
        <v>37.5</v>
      </c>
      <c r="N17" s="102">
        <f t="shared" si="2"/>
        <v>0.19430051813471502</v>
      </c>
      <c r="O17" s="102">
        <f t="shared" si="3"/>
        <v>0.77720207253886009</v>
      </c>
    </row>
    <row r="18" spans="1:15" x14ac:dyDescent="0.2">
      <c r="A18" s="108" t="s">
        <v>1915</v>
      </c>
      <c r="B18" s="44" t="str">
        <f>IF(LEN(VLOOKUP(A18,'Species List'!$A:$G,2,FALSE))=0,"",VLOOKUP(A18,'Species List'!$A:$G,2,FALSE))</f>
        <v>purple-leaved willow herb</v>
      </c>
      <c r="C18" s="44">
        <f>IF(LEN(VLOOKUP(A18,'Species List'!$A:$G,3,FALSE))=0,"",VLOOKUP(A18,'Species List'!$A:$G,3,FALSE))</f>
        <v>3</v>
      </c>
      <c r="D18" s="103">
        <f t="shared" si="0"/>
        <v>3</v>
      </c>
      <c r="E18" s="44" t="str">
        <f>IF(LEN(VLOOKUP(A18,'Species List'!$A:$G,4,FALSE))=0,"",VLOOKUP(A18,'Species List'!$A:$G,4,FALSE))</f>
        <v>H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OBL</v>
      </c>
      <c r="H18" s="44">
        <f>VLOOKUP(A18,'Species List'!$A:$G,7,FALSE)</f>
        <v>0</v>
      </c>
      <c r="J18" s="118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1"/>
        <v>3</v>
      </c>
      <c r="N18" s="102">
        <f t="shared" si="2"/>
        <v>1.5544041450777202E-2</v>
      </c>
      <c r="O18" s="102">
        <f t="shared" si="3"/>
        <v>4.6632124352331605E-2</v>
      </c>
    </row>
    <row r="19" spans="1:15" x14ac:dyDescent="0.2">
      <c r="A19" s="108" t="s">
        <v>4222</v>
      </c>
      <c r="B19" s="44" t="str">
        <f>IF(LEN(VLOOKUP(A19,'Species List'!$A:$G,2,FALSE))=0,"",VLOOKUP(A19,'Species List'!$A:$G,2,FALSE))</f>
        <v>giant goldenrod</v>
      </c>
      <c r="C19" s="44">
        <f>IF(LEN(VLOOKUP(A19,'Species List'!$A:$G,3,FALSE))=0,"",VLOOKUP(A19,'Species List'!$A:$G,3,FALSE))</f>
        <v>3</v>
      </c>
      <c r="D19" s="103">
        <f t="shared" si="0"/>
        <v>3</v>
      </c>
      <c r="E19" s="44" t="str">
        <f>IF(LEN(VLOOKUP(A19,'Species List'!$A:$G,4,FALSE))=0,"",VLOOKUP(A19,'Species List'!$A:$G,4,FALSE))</f>
        <v>H</v>
      </c>
      <c r="F19" s="44" t="str">
        <f>IF(LEN(VLOOKUP(A19,'Species List'!$A:$G,5,FALSE))=0,"",VLOOKUP(A19,'Species List'!$A:$G,5,FALSE))</f>
        <v>Native</v>
      </c>
      <c r="G19" s="44" t="str">
        <f>IF(LEN(VLOOKUP(A19,'Species List'!$A:$G,6,FALSE))=0,"",VLOOKUP(A19,'Species List'!$A:$G,6,FALSE))</f>
        <v>FACW</v>
      </c>
      <c r="H19" s="44">
        <f>VLOOKUP(A19,'Species List'!$A:$G,7,FALSE)</f>
        <v>0</v>
      </c>
      <c r="J19" s="118" t="s">
        <v>5418</v>
      </c>
      <c r="K19" s="47" t="str">
        <f>VLOOKUP(J19,'Species List'!$H$1:$J$9,2,FALSE)</f>
        <v>&gt;1-5%</v>
      </c>
      <c r="L19" s="47">
        <f>VLOOKUP(K19,'Species List'!$I$1:$N$8,2,FALSE)</f>
        <v>3</v>
      </c>
      <c r="M19" s="104">
        <f t="shared" si="1"/>
        <v>3</v>
      </c>
      <c r="N19" s="102">
        <f t="shared" si="2"/>
        <v>1.5544041450777202E-2</v>
      </c>
      <c r="O19" s="102">
        <f t="shared" si="3"/>
        <v>4.6632124352331605E-2</v>
      </c>
    </row>
    <row r="20" spans="1:15" x14ac:dyDescent="0.2">
      <c r="A20" s="108" t="s">
        <v>3271</v>
      </c>
      <c r="B20" s="44" t="str">
        <f>IF(LEN(VLOOKUP(A20,'Species List'!$A:$G,2,FALSE))=0,"",VLOOKUP(A20,'Species List'!$A:$G,2,FALSE))</f>
        <v>dotted smartweed</v>
      </c>
      <c r="C20" s="44">
        <f>IF(LEN(VLOOKUP(A20,'Species List'!$A:$G,3,FALSE))=0,"",VLOOKUP(A20,'Species List'!$A:$G,3,FALSE))</f>
        <v>5</v>
      </c>
      <c r="D20" s="103">
        <f t="shared" si="0"/>
        <v>5</v>
      </c>
      <c r="E20" s="44" t="str">
        <f>IF(LEN(VLOOKUP(A20,'Species List'!$A:$G,4,FALSE))=0,"",VLOOKUP(A20,'Species List'!$A:$G,4,FALSE))</f>
        <v>H</v>
      </c>
      <c r="F20" s="44" t="str">
        <f>IF(LEN(VLOOKUP(A20,'Species List'!$A:$G,5,FALSE))=0,"",VLOOKUP(A20,'Species List'!$A:$G,5,FALSE))</f>
        <v>Native</v>
      </c>
      <c r="G20" s="44" t="str">
        <f>IF(LEN(VLOOKUP(A20,'Species List'!$A:$G,6,FALSE))=0,"",VLOOKUP(A20,'Species List'!$A:$G,6,FALSE))</f>
        <v>OBL</v>
      </c>
      <c r="H20" s="44">
        <f>VLOOKUP(A20,'Species List'!$A:$G,7,FALSE)</f>
        <v>0</v>
      </c>
      <c r="J20" s="118">
        <v>1</v>
      </c>
      <c r="K20" s="47" t="str">
        <f>VLOOKUP(J20,'Species List'!$H$1:$J$9,2,FALSE)</f>
        <v>&gt;1-5%</v>
      </c>
      <c r="L20" s="47">
        <f>VLOOKUP(K20,'Species List'!$I$1:$N$8,2,FALSE)</f>
        <v>3</v>
      </c>
      <c r="M20" s="104">
        <f t="shared" si="1"/>
        <v>3</v>
      </c>
      <c r="N20" s="102">
        <f t="shared" si="2"/>
        <v>1.5544041450777202E-2</v>
      </c>
      <c r="O20" s="102">
        <f t="shared" si="3"/>
        <v>7.7720207253886009E-2</v>
      </c>
    </row>
    <row r="21" spans="1:15" x14ac:dyDescent="0.2">
      <c r="A21" s="108" t="s">
        <v>861</v>
      </c>
      <c r="B21" s="44" t="str">
        <f>IF(LEN(VLOOKUP(A21,'Species List'!$A:$G,2,FALSE))=0,"",VLOOKUP(A21,'Species List'!$A:$G,2,FALSE))</f>
        <v>marsh bellflower</v>
      </c>
      <c r="C21" s="44">
        <f>IF(LEN(VLOOKUP(A21,'Species List'!$A:$G,3,FALSE))=0,"",VLOOKUP(A21,'Species List'!$A:$G,3,FALSE))</f>
        <v>5</v>
      </c>
      <c r="D21" s="103">
        <f t="shared" si="0"/>
        <v>5</v>
      </c>
      <c r="E21" s="44" t="str">
        <f>IF(LEN(VLOOKUP(A21,'Species List'!$A:$G,4,FALSE))=0,"",VLOOKUP(A21,'Species List'!$A:$G,4,FALSE))</f>
        <v>H</v>
      </c>
      <c r="F21" s="44" t="str">
        <f>IF(LEN(VLOOKUP(A21,'Species List'!$A:$G,5,FALSE))=0,"",VLOOKUP(A21,'Species List'!$A:$G,5,FALSE))</f>
        <v>Native</v>
      </c>
      <c r="G21" s="44" t="str">
        <f>IF(LEN(VLOOKUP(A21,'Species List'!$A:$G,6,FALSE))=0,"",VLOOKUP(A21,'Species List'!$A:$G,6,FALSE))</f>
        <v>OBL</v>
      </c>
      <c r="H21" s="44">
        <f>VLOOKUP(A21,'Species List'!$A:$G,7,FALSE)</f>
        <v>0</v>
      </c>
      <c r="J21" s="118" t="s">
        <v>5420</v>
      </c>
      <c r="K21" s="47" t="str">
        <f>VLOOKUP(J21,'Species List'!$H$1:$J$9,2,FALSE)</f>
        <v>&gt;0-1%</v>
      </c>
      <c r="L21" s="47">
        <f>VLOOKUP(K21,'Species List'!$I$1:$N$8,2,FALSE)</f>
        <v>0.5</v>
      </c>
      <c r="M21" s="104">
        <f t="shared" si="1"/>
        <v>0.5</v>
      </c>
      <c r="N21" s="102">
        <f t="shared" si="2"/>
        <v>2.5906735751295338E-3</v>
      </c>
      <c r="O21" s="102">
        <f t="shared" si="3"/>
        <v>1.2953367875647669E-2</v>
      </c>
    </row>
    <row r="22" spans="1:15" x14ac:dyDescent="0.2">
      <c r="A22" s="108" t="s">
        <v>473</v>
      </c>
      <c r="B22" s="44" t="str">
        <f>IF(LEN(VLOOKUP(A22,'Species List'!$A:$G,2,FALSE))=0,"",VLOOKUP(A22,'Species List'!$A:$G,2,FALSE))</f>
        <v>Jack-in-the-pulpit</v>
      </c>
      <c r="C22" s="44">
        <f>IF(LEN(VLOOKUP(A22,'Species List'!$A:$G,3,FALSE))=0,"",VLOOKUP(A22,'Species List'!$A:$G,3,FALSE))</f>
        <v>4</v>
      </c>
      <c r="D22" s="103">
        <f t="shared" si="0"/>
        <v>4</v>
      </c>
      <c r="E22" s="44" t="str">
        <f>IF(LEN(VLOOKUP(A22,'Species List'!$A:$G,4,FALSE))=0,"",VLOOKUP(A22,'Species List'!$A:$G,4,FALSE))</f>
        <v>H</v>
      </c>
      <c r="F22" s="44" t="str">
        <f>IF(LEN(VLOOKUP(A22,'Species List'!$A:$G,5,FALSE))=0,"",VLOOKUP(A22,'Species List'!$A:$G,5,FALSE))</f>
        <v>Native</v>
      </c>
      <c r="G22" s="44" t="str">
        <f>IF(LEN(VLOOKUP(A22,'Species List'!$A:$G,6,FALSE))=0,"",VLOOKUP(A22,'Species List'!$A:$G,6,FALSE))</f>
        <v>FACW-</v>
      </c>
      <c r="H22" s="44">
        <f>VLOOKUP(A22,'Species List'!$A:$G,7,FALSE)</f>
        <v>0</v>
      </c>
      <c r="J22" s="119" t="s">
        <v>5418</v>
      </c>
      <c r="K22" s="47" t="str">
        <f>VLOOKUP(J22,'Species List'!$H$1:$J$9,2,FALSE)</f>
        <v>&gt;1-5%</v>
      </c>
      <c r="L22" s="47">
        <f>VLOOKUP(K22,'Species List'!$I$1:$N$8,2,FALSE)</f>
        <v>3</v>
      </c>
      <c r="M22" s="104">
        <f t="shared" si="1"/>
        <v>3</v>
      </c>
      <c r="N22" s="102">
        <f t="shared" si="2"/>
        <v>1.5544041450777202E-2</v>
      </c>
      <c r="O22" s="102">
        <f t="shared" si="3"/>
        <v>6.2176165803108807E-2</v>
      </c>
    </row>
    <row r="23" spans="1:15" ht="13.2" x14ac:dyDescent="0.25">
      <c r="A23" s="36" t="s">
        <v>706</v>
      </c>
      <c r="B23" s="44" t="str">
        <f>IF(LEN(VLOOKUP(A23,'Species List'!$A:$G,2,FALSE))=0,"",VLOOKUP(A23,'Species List'!$A:$G,2,FALSE))</f>
        <v>false nettle</v>
      </c>
      <c r="C23" s="44">
        <f>IF(LEN(VLOOKUP(A23,'Species List'!$A:$G,3,FALSE))=0,"",VLOOKUP(A23,'Species List'!$A:$G,3,FALSE))</f>
        <v>5</v>
      </c>
      <c r="D23" s="103">
        <f t="shared" si="0"/>
        <v>5</v>
      </c>
      <c r="E23" s="44" t="str">
        <f>IF(LEN(VLOOKUP(A23,'Species List'!$A:$G,4,FALSE))=0,"",VLOOKUP(A23,'Species List'!$A:$G,4,FALSE))</f>
        <v>H</v>
      </c>
      <c r="F23" s="44" t="str">
        <f>IF(LEN(VLOOKUP(A23,'Species List'!$A:$G,5,FALSE))=0,"",VLOOKUP(A23,'Species List'!$A:$G,5,FALSE))</f>
        <v>Native</v>
      </c>
      <c r="G23" s="44" t="str">
        <f>IF(LEN(VLOOKUP(A23,'Species List'!$A:$G,6,FALSE))=0,"",VLOOKUP(A23,'Species List'!$A:$G,6,FALSE))</f>
        <v>OBL</v>
      </c>
      <c r="H23" s="44">
        <f>VLOOKUP(A23,'Species List'!$A:$G,7,FALSE)</f>
        <v>0</v>
      </c>
      <c r="J23" s="118" t="s">
        <v>5418</v>
      </c>
      <c r="K23" s="47" t="str">
        <f>VLOOKUP(J23,'Species List'!$H$1:$J$9,2,FALSE)</f>
        <v>&gt;1-5%</v>
      </c>
      <c r="L23" s="47">
        <f>VLOOKUP(K23,'Species List'!$I$1:$N$8,2,FALSE)</f>
        <v>3</v>
      </c>
      <c r="M23" s="104">
        <f t="shared" si="1"/>
        <v>3</v>
      </c>
      <c r="N23" s="102">
        <f t="shared" si="2"/>
        <v>1.5544041450777202E-2</v>
      </c>
      <c r="O23" s="102">
        <f t="shared" si="3"/>
        <v>7.7720207253886009E-2</v>
      </c>
    </row>
    <row r="24" spans="1:15" x14ac:dyDescent="0.2">
      <c r="A24" s="108" t="s">
        <v>3351</v>
      </c>
      <c r="B24" s="44" t="str">
        <f>IF(LEN(VLOOKUP(A24,'Species List'!$A:$G,2,FALSE))=0,"",VLOOKUP(A24,'Species List'!$A:$G,2,FALSE))</f>
        <v>black-fruited clearweed</v>
      </c>
      <c r="C24" s="44">
        <f>IF(LEN(VLOOKUP(A24,'Species List'!$A:$G,3,FALSE))=0,"",VLOOKUP(A24,'Species List'!$A:$G,3,FALSE))</f>
        <v>4</v>
      </c>
      <c r="D24" s="103">
        <f t="shared" si="0"/>
        <v>4</v>
      </c>
      <c r="E24" s="44" t="str">
        <f>IF(LEN(VLOOKUP(A24,'Species List'!$A:$G,4,FALSE))=0,"",VLOOKUP(A24,'Species List'!$A:$G,4,FALSE))</f>
        <v>H</v>
      </c>
      <c r="F24" s="44" t="str">
        <f>IF(LEN(VLOOKUP(A24,'Species List'!$A:$G,5,FALSE))=0,"",VLOOKUP(A24,'Species List'!$A:$G,5,FALSE))</f>
        <v>Native</v>
      </c>
      <c r="G24" s="44" t="str">
        <f>IF(LEN(VLOOKUP(A24,'Species List'!$A:$G,6,FALSE))=0,"",VLOOKUP(A24,'Species List'!$A:$G,6,FALSE))</f>
        <v>FACW</v>
      </c>
      <c r="H24" s="44">
        <f>VLOOKUP(A24,'Species List'!$A:$G,7,FALSE)</f>
        <v>0</v>
      </c>
      <c r="J24" s="118">
        <v>2</v>
      </c>
      <c r="K24" s="47" t="str">
        <f>VLOOKUP(J24,'Species List'!$H$1:$J$9,2,FALSE)</f>
        <v>&gt;5-25%</v>
      </c>
      <c r="L24" s="47">
        <f>VLOOKUP(K24,'Species List'!$I$1:$N$8,2,FALSE)</f>
        <v>15</v>
      </c>
      <c r="M24" s="104">
        <f t="shared" si="1"/>
        <v>15</v>
      </c>
      <c r="N24" s="102">
        <f t="shared" si="2"/>
        <v>7.7720207253886009E-2</v>
      </c>
      <c r="O24" s="102">
        <f t="shared" si="3"/>
        <v>0.31088082901554404</v>
      </c>
    </row>
    <row r="25" spans="1:15" x14ac:dyDescent="0.2">
      <c r="A25" s="108" t="s">
        <v>2846</v>
      </c>
      <c r="B25" s="44" t="str">
        <f>IF(LEN(VLOOKUP(A25,'Species List'!$A:$G,2,FALSE))=0,"",VLOOKUP(A25,'Species List'!$A:$G,2,FALSE))</f>
        <v>Canada mayflower</v>
      </c>
      <c r="C25" s="44">
        <f>IF(LEN(VLOOKUP(A25,'Species List'!$A:$G,3,FALSE))=0,"",VLOOKUP(A25,'Species List'!$A:$G,3,FALSE))</f>
        <v>5</v>
      </c>
      <c r="D25" s="103">
        <f t="shared" si="0"/>
        <v>5</v>
      </c>
      <c r="E25" s="44" t="str">
        <f>IF(LEN(VLOOKUP(A25,'Species List'!$A:$G,4,FALSE))=0,"",VLOOKUP(A25,'Species List'!$A:$G,4,FALSE))</f>
        <v>H</v>
      </c>
      <c r="F25" s="44" t="str">
        <f>IF(LEN(VLOOKUP(A25,'Species List'!$A:$G,5,FALSE))=0,"",VLOOKUP(A25,'Species List'!$A:$G,5,FALSE))</f>
        <v>Native</v>
      </c>
      <c r="G25" s="44" t="str">
        <f>IF(LEN(VLOOKUP(A25,'Species List'!$A:$G,6,FALSE))=0,"",VLOOKUP(A25,'Species List'!$A:$G,6,FALSE))</f>
        <v>FAC</v>
      </c>
      <c r="H25" s="44">
        <f>VLOOKUP(A25,'Species List'!$A:$G,7,FALSE)</f>
        <v>0</v>
      </c>
      <c r="J25" s="118">
        <v>1</v>
      </c>
      <c r="K25" s="47" t="str">
        <f>VLOOKUP(J25,'Species List'!$H$1:$J$9,2,FALSE)</f>
        <v>&gt;1-5%</v>
      </c>
      <c r="L25" s="47">
        <f>VLOOKUP(K25,'Species List'!$I$1:$N$8,2,FALSE)</f>
        <v>3</v>
      </c>
      <c r="M25" s="104">
        <f t="shared" si="1"/>
        <v>3</v>
      </c>
      <c r="N25" s="102">
        <f t="shared" si="2"/>
        <v>1.5544041450777202E-2</v>
      </c>
      <c r="O25" s="102">
        <f t="shared" si="3"/>
        <v>7.7720207253886009E-2</v>
      </c>
    </row>
    <row r="26" spans="1:15" x14ac:dyDescent="0.2">
      <c r="A26" s="113" t="s">
        <v>5446</v>
      </c>
      <c r="B26" s="44" t="e">
        <f>IF(LEN(VLOOKUP(A26,'Species List'!$A:$G,2,FALSE))=0,"",VLOOKUP(A26,'Species List'!$A:$G,2,FALSE))</f>
        <v>#N/A</v>
      </c>
      <c r="C26" s="44">
        <v>4</v>
      </c>
      <c r="D26" s="103">
        <f t="shared" si="0"/>
        <v>4</v>
      </c>
      <c r="E26" s="44" t="e">
        <f>IF(LEN(VLOOKUP(A26,'Species List'!$A:$G,4,FALSE))=0,"",VLOOKUP(A26,'Species List'!$A:$G,4,FALSE))</f>
        <v>#N/A</v>
      </c>
      <c r="F26" s="44" t="s">
        <v>147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118">
        <v>1</v>
      </c>
      <c r="K26" s="47" t="str">
        <f>VLOOKUP(J26,'Species List'!$H$1:$J$9,2,FALSE)</f>
        <v>&gt;1-5%</v>
      </c>
      <c r="L26" s="47">
        <f>VLOOKUP(K26,'Species List'!$I$1:$N$8,2,FALSE)</f>
        <v>3</v>
      </c>
      <c r="M26" s="104">
        <f t="shared" si="1"/>
        <v>3</v>
      </c>
      <c r="N26" s="102">
        <f t="shared" si="2"/>
        <v>1.5544041450777202E-2</v>
      </c>
      <c r="O26" s="102">
        <f t="shared" si="3"/>
        <v>6.2176165803108807E-2</v>
      </c>
    </row>
    <row r="27" spans="1:15" x14ac:dyDescent="0.2">
      <c r="A27" s="114" t="s">
        <v>3140</v>
      </c>
      <c r="B27" s="44" t="str">
        <f>IF(LEN(VLOOKUP(A27,'Species List'!$A:$G,2,FALSE))=0,"",VLOOKUP(A27,'Species List'!$A:$G,2,FALSE))</f>
        <v>interrupted fern</v>
      </c>
      <c r="C27" s="44">
        <f>IF(LEN(VLOOKUP(A27,'Species List'!$A:$G,3,FALSE))=0,"",VLOOKUP(A27,'Species List'!$A:$G,3,FALSE))</f>
        <v>6</v>
      </c>
      <c r="D27" s="103">
        <f t="shared" si="0"/>
        <v>6</v>
      </c>
      <c r="E27" s="44" t="str">
        <f>IF(LEN(VLOOKUP(A27,'Species List'!$A:$G,4,FALSE))=0,"",VLOOKUP(A27,'Species List'!$A:$G,4,FALSE))</f>
        <v>H</v>
      </c>
      <c r="F27" s="44" t="str">
        <f>IF(LEN(VLOOKUP(A27,'Species List'!$A:$G,5,FALSE))=0,"",VLOOKUP(A27,'Species List'!$A:$G,5,FALSE))</f>
        <v>Native</v>
      </c>
      <c r="G27" s="44" t="str">
        <f>IF(LEN(VLOOKUP(A27,'Species List'!$A:$G,6,FALSE))=0,"",VLOOKUP(A27,'Species List'!$A:$G,6,FALSE))</f>
        <v>FAC+</v>
      </c>
      <c r="H27" s="44">
        <f>VLOOKUP(A27,'Species List'!$A:$G,7,FALSE)</f>
        <v>0</v>
      </c>
      <c r="J27" s="120" t="s">
        <v>5418</v>
      </c>
      <c r="K27" s="47" t="str">
        <f>VLOOKUP(J27,'Species List'!$H$1:$J$9,2,FALSE)</f>
        <v>&gt;1-5%</v>
      </c>
      <c r="L27" s="47">
        <f>VLOOKUP(K27,'Species List'!$I$1:$N$8,2,FALSE)</f>
        <v>3</v>
      </c>
      <c r="M27" s="104">
        <f t="shared" si="1"/>
        <v>3</v>
      </c>
      <c r="N27" s="102">
        <f t="shared" si="2"/>
        <v>1.5544041450777202E-2</v>
      </c>
      <c r="O27" s="102">
        <f t="shared" si="3"/>
        <v>9.3264248704663211E-2</v>
      </c>
    </row>
    <row r="28" spans="1:15" x14ac:dyDescent="0.2">
      <c r="A28" s="108" t="s">
        <v>671</v>
      </c>
      <c r="B28" s="44" t="str">
        <f>IF(LEN(VLOOKUP(A28,'Species List'!$A:$G,2,FALSE))=0,"",VLOOKUP(A28,'Species List'!$A:$G,2,FALSE))</f>
        <v>swamp beggarticks</v>
      </c>
      <c r="C28" s="44">
        <f>IF(LEN(VLOOKUP(A28,'Species List'!$A:$G,3,FALSE))=0,"",VLOOKUP(A28,'Species List'!$A:$G,3,FALSE))</f>
        <v>3</v>
      </c>
      <c r="D28" s="103">
        <f t="shared" si="0"/>
        <v>3</v>
      </c>
      <c r="E28" s="44" t="str">
        <f>IF(LEN(VLOOKUP(A28,'Species List'!$A:$G,4,FALSE))=0,"",VLOOKUP(A28,'Species List'!$A:$G,4,FALSE))</f>
        <v>H</v>
      </c>
      <c r="F28" s="44" t="str">
        <f>IF(LEN(VLOOKUP(A28,'Species List'!$A:$G,5,FALSE))=0,"",VLOOKUP(A28,'Species List'!$A:$G,5,FALSE))</f>
        <v>Native</v>
      </c>
      <c r="G28" s="44" t="str">
        <f>IF(LEN(VLOOKUP(A28,'Species List'!$A:$G,6,FALSE))=0,"",VLOOKUP(A28,'Species List'!$A:$G,6,FALSE))</f>
        <v>OBL</v>
      </c>
      <c r="H28" s="44">
        <f>VLOOKUP(A28,'Species List'!$A:$G,7,FALSE)</f>
        <v>0</v>
      </c>
      <c r="J28" s="118">
        <v>1</v>
      </c>
      <c r="K28" s="47" t="str">
        <f>VLOOKUP(J28,'Species List'!$H$1:$J$9,2,FALSE)</f>
        <v>&gt;1-5%</v>
      </c>
      <c r="L28" s="47">
        <f>VLOOKUP(K28,'Species List'!$I$1:$N$8,2,FALSE)</f>
        <v>3</v>
      </c>
      <c r="M28" s="104">
        <f t="shared" si="1"/>
        <v>3</v>
      </c>
      <c r="N28" s="102">
        <f t="shared" si="2"/>
        <v>1.5544041450777202E-2</v>
      </c>
      <c r="O28" s="102">
        <f t="shared" si="3"/>
        <v>4.6632124352331605E-2</v>
      </c>
    </row>
    <row r="29" spans="1:15" x14ac:dyDescent="0.2">
      <c r="A29" s="115" t="s">
        <v>1748</v>
      </c>
      <c r="B29" s="44" t="str">
        <f>IF(LEN(VLOOKUP(A29,'Species List'!$A:$G,2,FALSE))=0,"",VLOOKUP(A29,'Species List'!$A:$G,2,FALSE))</f>
        <v>flat-topped aster</v>
      </c>
      <c r="C29" s="44">
        <f>IF(LEN(VLOOKUP(A29,'Species List'!$A:$G,3,FALSE))=0,"",VLOOKUP(A29,'Species List'!$A:$G,3,FALSE))</f>
        <v>5</v>
      </c>
      <c r="D29" s="103">
        <f t="shared" si="0"/>
        <v>5</v>
      </c>
      <c r="E29" s="44" t="str">
        <f>IF(LEN(VLOOKUP(A29,'Species List'!$A:$G,4,FALSE))=0,"",VLOOKUP(A29,'Species List'!$A:$G,4,FALSE))</f>
        <v>H</v>
      </c>
      <c r="F29" s="44" t="str">
        <f>IF(LEN(VLOOKUP(A29,'Species List'!$A:$G,5,FALSE))=0,"",VLOOKUP(A29,'Species List'!$A:$G,5,FALSE))</f>
        <v>Native</v>
      </c>
      <c r="G29" s="44" t="str">
        <f>IF(LEN(VLOOKUP(A29,'Species List'!$A:$G,6,FALSE))=0,"",VLOOKUP(A29,'Species List'!$A:$G,6,FALSE))</f>
        <v>[FACW]</v>
      </c>
      <c r="H29" s="44">
        <f>VLOOKUP(A29,'Species List'!$A:$G,7,FALSE)</f>
        <v>0</v>
      </c>
      <c r="J29" s="118" t="s">
        <v>5418</v>
      </c>
      <c r="K29" s="47" t="str">
        <f>VLOOKUP(J29,'Species List'!$H$1:$J$9,2,FALSE)</f>
        <v>&gt;1-5%</v>
      </c>
      <c r="L29" s="47">
        <f>VLOOKUP(K29,'Species List'!$I$1:$N$8,2,FALSE)</f>
        <v>3</v>
      </c>
      <c r="M29" s="104">
        <f t="shared" si="1"/>
        <v>3</v>
      </c>
      <c r="N29" s="102">
        <f t="shared" si="2"/>
        <v>1.5544041450777202E-2</v>
      </c>
      <c r="O29" s="102">
        <f t="shared" si="3"/>
        <v>7.7720207253886009E-2</v>
      </c>
    </row>
    <row r="30" spans="1:15" x14ac:dyDescent="0.2">
      <c r="A30" s="109" t="s">
        <v>5447</v>
      </c>
      <c r="B30" s="44" t="e">
        <f>IF(LEN(VLOOKUP(A30,'Species List'!$A:$G,2,FALSE))=0,"",VLOOKUP(A30,'Species List'!$A:$G,2,FALSE))</f>
        <v>#N/A</v>
      </c>
      <c r="C30" s="44">
        <v>1</v>
      </c>
      <c r="D30" s="103">
        <f t="shared" si="0"/>
        <v>1</v>
      </c>
      <c r="E30" s="44" t="e">
        <f>IF(LEN(VLOOKUP(A30,'Species List'!$A:$G,4,FALSE))=0,"",VLOOKUP(A30,'Species List'!$A:$G,4,FALSE))</f>
        <v>#N/A</v>
      </c>
      <c r="F30" s="44" t="s">
        <v>147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118" t="s">
        <v>5418</v>
      </c>
      <c r="K30" s="47" t="str">
        <f>VLOOKUP(J30,'Species List'!$H$1:$J$9,2,FALSE)</f>
        <v>&gt;1-5%</v>
      </c>
      <c r="L30" s="47">
        <f>VLOOKUP(K30,'Species List'!$I$1:$N$8,2,FALSE)</f>
        <v>3</v>
      </c>
      <c r="M30" s="104">
        <f t="shared" si="1"/>
        <v>3</v>
      </c>
      <c r="N30" s="102">
        <f t="shared" si="2"/>
        <v>1.5544041450777202E-2</v>
      </c>
      <c r="O30" s="102">
        <f t="shared" si="3"/>
        <v>1.5544041450777202E-2</v>
      </c>
    </row>
    <row r="31" spans="1:15" x14ac:dyDescent="0.2">
      <c r="A31" s="108" t="s">
        <v>3102</v>
      </c>
      <c r="B31" s="44" t="str">
        <f>IF(LEN(VLOOKUP(A31,'Species List'!$A:$G,2,FALSE))=0,"",VLOOKUP(A31,'Species List'!$A:$G,2,FALSE))</f>
        <v>sensitive fern</v>
      </c>
      <c r="C31" s="44">
        <f>IF(LEN(VLOOKUP(A31,'Species List'!$A:$G,3,FALSE))=0,"",VLOOKUP(A31,'Species List'!$A:$G,3,FALSE))</f>
        <v>4</v>
      </c>
      <c r="D31" s="103">
        <f t="shared" si="0"/>
        <v>4</v>
      </c>
      <c r="E31" s="44" t="str">
        <f>IF(LEN(VLOOKUP(A31,'Species List'!$A:$G,4,FALSE))=0,"",VLOOKUP(A31,'Species List'!$A:$G,4,FALSE))</f>
        <v>H</v>
      </c>
      <c r="F31" s="44" t="str">
        <f>IF(LEN(VLOOKUP(A31,'Species List'!$A:$G,5,FALSE))=0,"",VLOOKUP(A31,'Species List'!$A:$G,5,FALSE))</f>
        <v>Native</v>
      </c>
      <c r="G31" s="44" t="str">
        <f>IF(LEN(VLOOKUP(A31,'Species List'!$A:$G,6,FALSE))=0,"",VLOOKUP(A31,'Species List'!$A:$G,6,FALSE))</f>
        <v>FACW</v>
      </c>
      <c r="H31" s="44">
        <f>VLOOKUP(A31,'Species List'!$A:$G,7,FALSE)</f>
        <v>0</v>
      </c>
      <c r="J31" s="118" t="s">
        <v>5418</v>
      </c>
      <c r="K31" s="47" t="str">
        <f>VLOOKUP(J31,'Species List'!$H$1:$J$9,2,FALSE)</f>
        <v>&gt;1-5%</v>
      </c>
      <c r="L31" s="47">
        <f>VLOOKUP(K31,'Species List'!$I$1:$N$8,2,FALSE)</f>
        <v>3</v>
      </c>
      <c r="M31" s="104">
        <f t="shared" si="1"/>
        <v>3</v>
      </c>
      <c r="N31" s="102">
        <f t="shared" si="2"/>
        <v>1.5544041450777202E-2</v>
      </c>
      <c r="O31" s="102">
        <f t="shared" si="3"/>
        <v>6.2176165803108807E-2</v>
      </c>
    </row>
    <row r="32" spans="1:15" x14ac:dyDescent="0.2">
      <c r="A32" s="108" t="s">
        <v>1776</v>
      </c>
      <c r="B32" s="44" t="str">
        <f>IF(LEN(VLOOKUP(A32,'Species List'!$A:$G,2,FALSE))=0,"",VLOOKUP(A32,'Species List'!$A:$G,2,FALSE))</f>
        <v>crested fern</v>
      </c>
      <c r="C32" s="44">
        <f>IF(LEN(VLOOKUP(A32,'Species List'!$A:$G,3,FALSE))=0,"",VLOOKUP(A32,'Species List'!$A:$G,3,FALSE))</f>
        <v>7</v>
      </c>
      <c r="D32" s="103">
        <f t="shared" si="0"/>
        <v>7</v>
      </c>
      <c r="E32" s="44" t="str">
        <f>IF(LEN(VLOOKUP(A32,'Species List'!$A:$G,4,FALSE))=0,"",VLOOKUP(A32,'Species List'!$A:$G,4,FALSE))</f>
        <v>H</v>
      </c>
      <c r="F32" s="44" t="str">
        <f>IF(LEN(VLOOKUP(A32,'Species List'!$A:$G,5,FALSE))=0,"",VLOOKUP(A32,'Species List'!$A:$G,5,FALSE))</f>
        <v>Native</v>
      </c>
      <c r="G32" s="44" t="str">
        <f>IF(LEN(VLOOKUP(A32,'Species List'!$A:$G,6,FALSE))=0,"",VLOOKUP(A32,'Species List'!$A:$G,6,FALSE))</f>
        <v>OBL</v>
      </c>
      <c r="H32" s="44">
        <f>VLOOKUP(A32,'Species List'!$A:$G,7,FALSE)</f>
        <v>0</v>
      </c>
      <c r="J32" s="121" t="s">
        <v>5418</v>
      </c>
      <c r="K32" s="47" t="str">
        <f>VLOOKUP(J32,'Species List'!$H$1:$J$9,2,FALSE)</f>
        <v>&gt;1-5%</v>
      </c>
      <c r="L32" s="47">
        <f>VLOOKUP(K32,'Species List'!$I$1:$N$8,2,FALSE)</f>
        <v>3</v>
      </c>
      <c r="M32" s="104">
        <f t="shared" si="1"/>
        <v>3</v>
      </c>
      <c r="N32" s="102">
        <f t="shared" si="2"/>
        <v>1.5544041450777202E-2</v>
      </c>
      <c r="O32" s="102">
        <f t="shared" si="3"/>
        <v>0.10880829015544041</v>
      </c>
    </row>
    <row r="33" spans="1:15" x14ac:dyDescent="0.2">
      <c r="A33" s="108" t="s">
        <v>3902</v>
      </c>
      <c r="B33" s="44" t="str">
        <f>IF(LEN(VLOOKUP(A33,'Species List'!$A:$G,2,FALSE))=0,"",VLOOKUP(A33,'Species List'!$A:$G,2,FALSE))</f>
        <v>great water dock</v>
      </c>
      <c r="C33" s="44">
        <f>IF(LEN(VLOOKUP(A33,'Species List'!$A:$G,3,FALSE))=0,"",VLOOKUP(A33,'Species List'!$A:$G,3,FALSE))</f>
        <v>6</v>
      </c>
      <c r="D33" s="103">
        <f t="shared" si="0"/>
        <v>6</v>
      </c>
      <c r="E33" s="44" t="str">
        <f>IF(LEN(VLOOKUP(A33,'Species List'!$A:$G,4,FALSE))=0,"",VLOOKUP(A33,'Species List'!$A:$G,4,FALSE))</f>
        <v>H</v>
      </c>
      <c r="F33" s="44" t="str">
        <f>IF(LEN(VLOOKUP(A33,'Species List'!$A:$G,5,FALSE))=0,"",VLOOKUP(A33,'Species List'!$A:$G,5,FALSE))</f>
        <v>Native</v>
      </c>
      <c r="G33" s="44" t="str">
        <f>IF(LEN(VLOOKUP(A33,'Species List'!$A:$G,6,FALSE))=0,"",VLOOKUP(A33,'Species List'!$A:$G,6,FALSE))</f>
        <v>OBL</v>
      </c>
      <c r="H33" s="44">
        <f>VLOOKUP(A33,'Species List'!$A:$G,7,FALSE)</f>
        <v>0</v>
      </c>
      <c r="J33" s="121" t="s">
        <v>5418</v>
      </c>
      <c r="K33" s="47" t="str">
        <f>VLOOKUP(J33,'Species List'!$H$1:$J$9,2,FALSE)</f>
        <v>&gt;1-5%</v>
      </c>
      <c r="L33" s="47">
        <f>VLOOKUP(K33,'Species List'!$I$1:$N$8,2,FALSE)</f>
        <v>3</v>
      </c>
      <c r="M33" s="104">
        <f t="shared" si="1"/>
        <v>3</v>
      </c>
      <c r="N33" s="102">
        <f t="shared" si="2"/>
        <v>1.5544041450777202E-2</v>
      </c>
      <c r="O33" s="102">
        <f t="shared" si="3"/>
        <v>9.3264248704663211E-2</v>
      </c>
    </row>
    <row r="34" spans="1:15" x14ac:dyDescent="0.2">
      <c r="A34" s="109" t="s">
        <v>4492</v>
      </c>
      <c r="B34" s="44" t="str">
        <f>IF(LEN(VLOOKUP(A34,'Species List'!$A:$G,2,FALSE))=0,"",VLOOKUP(A34,'Species List'!$A:$G,2,FALSE))</f>
        <v/>
      </c>
      <c r="C34" s="44">
        <f>IF(LEN(VLOOKUP(A34,'Species List'!$A:$G,3,FALSE))=0,"",VLOOKUP(A34,'Species List'!$A:$G,3,FALSE))</f>
        <v>7</v>
      </c>
      <c r="D34" s="103">
        <f t="shared" si="0"/>
        <v>7</v>
      </c>
      <c r="E34" s="44" t="str">
        <f>IF(LEN(VLOOKUP(A34,'Species List'!$A:$G,4,FALSE))=0,"",VLOOKUP(A34,'Species List'!$A:$G,4,FALSE))</f>
        <v>H</v>
      </c>
      <c r="F34" s="44" t="str">
        <f>IF(LEN(VLOOKUP(A34,'Species List'!$A:$G,5,FALSE))=0,"",VLOOKUP(A34,'Species List'!$A:$G,5,FALSE))</f>
        <v>Native</v>
      </c>
      <c r="G34" s="44" t="str">
        <f>IF(LEN(VLOOKUP(A34,'Species List'!$A:$G,6,FALSE))=0,"",VLOOKUP(A34,'Species List'!$A:$G,6,FALSE))</f>
        <v>OBL</v>
      </c>
      <c r="H34" s="44">
        <f>VLOOKUP(A34,'Species List'!$A:$G,7,FALSE)</f>
        <v>0</v>
      </c>
      <c r="J34" s="121" t="s">
        <v>5418</v>
      </c>
      <c r="K34" s="47" t="str">
        <f>VLOOKUP(J34,'Species List'!$H$1:$J$9,2,FALSE)</f>
        <v>&gt;1-5%</v>
      </c>
      <c r="L34" s="47">
        <f>VLOOKUP(K34,'Species List'!$I$1:$N$8,2,FALSE)</f>
        <v>3</v>
      </c>
      <c r="M34" s="104">
        <f t="shared" si="1"/>
        <v>3</v>
      </c>
      <c r="N34" s="102">
        <f t="shared" si="2"/>
        <v>1.5544041450777202E-2</v>
      </c>
      <c r="O34" s="102">
        <f t="shared" si="3"/>
        <v>0.10880829015544041</v>
      </c>
    </row>
    <row r="35" spans="1:15" x14ac:dyDescent="0.2">
      <c r="A35" s="116" t="s">
        <v>4204</v>
      </c>
      <c r="B35" s="44" t="str">
        <f>IF(LEN(VLOOKUP(A35,'Species List'!$A:$G,2,FALSE))=0,"",VLOOKUP(A35,'Species List'!$A:$G,2,FALSE))</f>
        <v>bittersweet nightshade</v>
      </c>
      <c r="C35" s="44">
        <f>IF(LEN(VLOOKUP(A35,'Species List'!$A:$G,3,FALSE))=0,"",VLOOKUP(A35,'Species List'!$A:$G,3,FALSE))</f>
        <v>0</v>
      </c>
      <c r="D35" s="103">
        <f t="shared" si="0"/>
        <v>0</v>
      </c>
      <c r="E35" s="44" t="str">
        <f>IF(LEN(VLOOKUP(A35,'Species List'!$A:$G,4,FALSE))=0,"",VLOOKUP(A35,'Species List'!$A:$G,4,FALSE))</f>
        <v>H</v>
      </c>
      <c r="F35" s="44" t="str">
        <f>IF(LEN(VLOOKUP(A35,'Species List'!$A:$G,5,FALSE))=0,"",VLOOKUP(A35,'Species List'!$A:$G,5,FALSE))</f>
        <v>Introduced</v>
      </c>
      <c r="G35" s="44" t="str">
        <f>IF(LEN(VLOOKUP(A35,'Species List'!$A:$G,6,FALSE))=0,"",VLOOKUP(A35,'Species List'!$A:$G,6,FALSE))</f>
        <v>[FAC]</v>
      </c>
      <c r="H35" s="44">
        <f>VLOOKUP(A35,'Species List'!$A:$G,7,FALSE)</f>
        <v>0</v>
      </c>
      <c r="J35" s="121" t="s">
        <v>5418</v>
      </c>
      <c r="K35" s="47" t="str">
        <f>VLOOKUP(J35,'Species List'!$H$1:$J$9,2,FALSE)</f>
        <v>&gt;1-5%</v>
      </c>
      <c r="L35" s="47">
        <f>VLOOKUP(K35,'Species List'!$I$1:$N$8,2,FALSE)</f>
        <v>3</v>
      </c>
      <c r="M35" s="104">
        <f t="shared" si="1"/>
        <v>3</v>
      </c>
      <c r="N35" s="102">
        <f t="shared" si="2"/>
        <v>1.5544041450777202E-2</v>
      </c>
      <c r="O35" s="102">
        <f t="shared" si="3"/>
        <v>0</v>
      </c>
    </row>
    <row r="36" spans="1:15" x14ac:dyDescent="0.2">
      <c r="A36" s="108" t="s">
        <v>2821</v>
      </c>
      <c r="B36" s="44" t="str">
        <f>IF(LEN(VLOOKUP(A36,'Species List'!$A:$G,2,FALSE))=0,"",VLOOKUP(A36,'Species List'!$A:$G,2,FALSE))</f>
        <v>fringed loosestrife</v>
      </c>
      <c r="C36" s="44">
        <f>IF(LEN(VLOOKUP(A36,'Species List'!$A:$G,3,FALSE))=0,"",VLOOKUP(A36,'Species List'!$A:$G,3,FALSE))</f>
        <v>5</v>
      </c>
      <c r="D36" s="103">
        <f t="shared" si="0"/>
        <v>5</v>
      </c>
      <c r="E36" s="44" t="str">
        <f>IF(LEN(VLOOKUP(A36,'Species List'!$A:$G,4,FALSE))=0,"",VLOOKUP(A36,'Species List'!$A:$G,4,FALSE))</f>
        <v>H</v>
      </c>
      <c r="F36" s="44" t="str">
        <f>IF(LEN(VLOOKUP(A36,'Species List'!$A:$G,5,FALSE))=0,"",VLOOKUP(A36,'Species List'!$A:$G,5,FALSE))</f>
        <v>Native</v>
      </c>
      <c r="G36" s="44" t="str">
        <f>IF(LEN(VLOOKUP(A36,'Species List'!$A:$G,6,FALSE))=0,"",VLOOKUP(A36,'Species List'!$A:$G,6,FALSE))</f>
        <v>FACW</v>
      </c>
      <c r="H36" s="44">
        <f>VLOOKUP(A36,'Species List'!$A:$G,7,FALSE)</f>
        <v>0</v>
      </c>
      <c r="J36" s="121" t="s">
        <v>5418</v>
      </c>
      <c r="K36" s="47" t="str">
        <f>VLOOKUP(J36,'Species List'!$H$1:$J$9,2,FALSE)</f>
        <v>&gt;1-5%</v>
      </c>
      <c r="L36" s="47">
        <f>VLOOKUP(K36,'Species List'!$I$1:$N$8,2,FALSE)</f>
        <v>3</v>
      </c>
      <c r="M36" s="104">
        <f t="shared" si="1"/>
        <v>3</v>
      </c>
      <c r="N36" s="102">
        <f t="shared" si="2"/>
        <v>1.5544041450777202E-2</v>
      </c>
      <c r="O36" s="102">
        <f t="shared" si="3"/>
        <v>7.7720207253886009E-2</v>
      </c>
    </row>
    <row r="37" spans="1:15" x14ac:dyDescent="0.2">
      <c r="A37" s="116" t="s">
        <v>2187</v>
      </c>
      <c r="B37" s="44" t="str">
        <f>IF(LEN(VLOOKUP(A37,'Species List'!$A:$G,2,FALSE))=0,"",VLOOKUP(A37,'Species List'!$A:$G,2,FALSE))</f>
        <v/>
      </c>
      <c r="C37" s="44">
        <f>IF(LEN(VLOOKUP(A37,'Species List'!$A:$G,3,FALSE))=0,"",VLOOKUP(A37,'Species List'!$A:$G,3,FALSE))</f>
        <v>4</v>
      </c>
      <c r="D37" s="103">
        <f t="shared" si="0"/>
        <v>4</v>
      </c>
      <c r="E37" s="44" t="str">
        <f>IF(LEN(VLOOKUP(A37,'Species List'!$A:$G,4,FALSE))=0,"",VLOOKUP(A37,'Species List'!$A:$G,4,FALSE))</f>
        <v>H</v>
      </c>
      <c r="F37" s="44" t="str">
        <f>IF(LEN(VLOOKUP(A37,'Species List'!$A:$G,5,FALSE))=0,"",VLOOKUP(A37,'Species List'!$A:$G,5,FALSE))</f>
        <v>Native</v>
      </c>
      <c r="G37" s="44" t="str">
        <f>IF(LEN(VLOOKUP(A37,'Species List'!$A:$G,6,FALSE))=0,"",VLOOKUP(A37,'Species List'!$A:$G,6,FALSE))</f>
        <v>FACU+</v>
      </c>
      <c r="H37" s="44">
        <f>VLOOKUP(A37,'Species List'!$A:$G,7,FALSE)</f>
        <v>0</v>
      </c>
      <c r="J37" s="121" t="s">
        <v>5418</v>
      </c>
      <c r="K37" s="47" t="str">
        <f>VLOOKUP(J37,'Species List'!$H$1:$J$9,2,FALSE)</f>
        <v>&gt;1-5%</v>
      </c>
      <c r="L37" s="47">
        <f>VLOOKUP(K37,'Species List'!$I$1:$N$8,2,FALSE)</f>
        <v>3</v>
      </c>
      <c r="M37" s="104">
        <f t="shared" si="1"/>
        <v>3</v>
      </c>
      <c r="N37" s="102">
        <f t="shared" si="2"/>
        <v>1.5544041450777202E-2</v>
      </c>
      <c r="O37" s="102">
        <f t="shared" si="3"/>
        <v>6.2176165803108807E-2</v>
      </c>
    </row>
    <row r="38" spans="1:15" x14ac:dyDescent="0.2">
      <c r="A38" s="108" t="s">
        <v>4653</v>
      </c>
      <c r="B38" s="44" t="str">
        <f>IF(LEN(VLOOKUP(A38,'Species List'!$A:$G,2,FALSE))=0,"",VLOOKUP(A38,'Species List'!$A:$G,2,FALSE))</f>
        <v>common mullein</v>
      </c>
      <c r="C38" s="44">
        <f>IF(LEN(VLOOKUP(A38,'Species List'!$A:$G,3,FALSE))=0,"",VLOOKUP(A38,'Species List'!$A:$G,3,FALSE))</f>
        <v>0</v>
      </c>
      <c r="D38" s="103">
        <f t="shared" si="0"/>
        <v>0</v>
      </c>
      <c r="E38" s="44" t="str">
        <f>IF(LEN(VLOOKUP(A38,'Species List'!$A:$G,4,FALSE))=0,"",VLOOKUP(A38,'Species List'!$A:$G,4,FALSE))</f>
        <v>H</v>
      </c>
      <c r="F38" s="44" t="str">
        <f>IF(LEN(VLOOKUP(A38,'Species List'!$A:$G,5,FALSE))=0,"",VLOOKUP(A38,'Species List'!$A:$G,5,FALSE))</f>
        <v>Introduced</v>
      </c>
      <c r="G38" s="44" t="str">
        <f>IF(LEN(VLOOKUP(A38,'Species List'!$A:$G,6,FALSE))=0,"",VLOOKUP(A38,'Species List'!$A:$G,6,FALSE))</f>
        <v>UPL</v>
      </c>
      <c r="H38" s="44">
        <f>VLOOKUP(A38,'Species List'!$A:$G,7,FALSE)</f>
        <v>0</v>
      </c>
      <c r="J38" s="121" t="s">
        <v>5418</v>
      </c>
      <c r="K38" s="47" t="str">
        <f>VLOOKUP(J38,'Species List'!$H$1:$J$9,2,FALSE)</f>
        <v>&gt;1-5%</v>
      </c>
      <c r="L38" s="47">
        <f>VLOOKUP(K38,'Species List'!$I$1:$N$8,2,FALSE)</f>
        <v>3</v>
      </c>
      <c r="M38" s="104">
        <f t="shared" si="1"/>
        <v>3</v>
      </c>
      <c r="N38" s="102">
        <f t="shared" si="2"/>
        <v>1.5544041450777202E-2</v>
      </c>
      <c r="O38" s="102">
        <f t="shared" si="3"/>
        <v>0</v>
      </c>
    </row>
    <row r="39" spans="1:15" x14ac:dyDescent="0.2">
      <c r="A39" s="116" t="s">
        <v>2911</v>
      </c>
      <c r="B39" s="44" t="str">
        <f>IF(LEN(VLOOKUP(A39,'Species List'!$A:$G,2,FALSE))=0,"",VLOOKUP(A39,'Species List'!$A:$G,2,FALSE))</f>
        <v>swamp saxifrage</v>
      </c>
      <c r="C39" s="44">
        <f>IF(LEN(VLOOKUP(A39,'Species List'!$A:$G,3,FALSE))=0,"",VLOOKUP(A39,'Species List'!$A:$G,3,FALSE))</f>
        <v>7</v>
      </c>
      <c r="D39" s="103">
        <f t="shared" si="0"/>
        <v>7</v>
      </c>
      <c r="E39" s="44" t="str">
        <f>IF(LEN(VLOOKUP(A39,'Species List'!$A:$G,4,FALSE))=0,"",VLOOKUP(A39,'Species List'!$A:$G,4,FALSE))</f>
        <v>H</v>
      </c>
      <c r="F39" s="44" t="str">
        <f>IF(LEN(VLOOKUP(A39,'Species List'!$A:$G,5,FALSE))=0,"",VLOOKUP(A39,'Species List'!$A:$G,5,FALSE))</f>
        <v>Native</v>
      </c>
      <c r="G39" s="44" t="str">
        <f>IF(LEN(VLOOKUP(A39,'Species List'!$A:$G,6,FALSE))=0,"",VLOOKUP(A39,'Species List'!$A:$G,6,FALSE))</f>
        <v>OBL</v>
      </c>
      <c r="H39" s="44">
        <f>VLOOKUP(A39,'Species List'!$A:$G,7,FALSE)</f>
        <v>0</v>
      </c>
      <c r="J39" s="121" t="s">
        <v>5418</v>
      </c>
      <c r="K39" s="47" t="str">
        <f>VLOOKUP(J39,'Species List'!$H$1:$J$9,2,FALSE)</f>
        <v>&gt;1-5%</v>
      </c>
      <c r="L39" s="47">
        <f>VLOOKUP(K39,'Species List'!$I$1:$N$8,2,FALSE)</f>
        <v>3</v>
      </c>
      <c r="M39" s="104">
        <f t="shared" si="1"/>
        <v>3</v>
      </c>
      <c r="N39" s="102">
        <f t="shared" si="2"/>
        <v>1.5544041450777202E-2</v>
      </c>
      <c r="O39" s="102">
        <f t="shared" si="3"/>
        <v>0.10880829015544041</v>
      </c>
    </row>
    <row r="40" spans="1:15" x14ac:dyDescent="0.2">
      <c r="A40" s="116" t="s">
        <v>1373</v>
      </c>
      <c r="B40" s="44" t="str">
        <f>IF(LEN(VLOOKUP(A40,'Species List'!$A:$G,2,FALSE))=0,"",VLOOKUP(A40,'Species List'!$A:$G,2,FALSE))</f>
        <v>Canada thistle</v>
      </c>
      <c r="C40" s="44">
        <f>IF(LEN(VLOOKUP(A40,'Species List'!$A:$G,3,FALSE))=0,"",VLOOKUP(A40,'Species List'!$A:$G,3,FALSE))</f>
        <v>0</v>
      </c>
      <c r="D40" s="103">
        <f t="shared" si="0"/>
        <v>0</v>
      </c>
      <c r="E40" s="44" t="str">
        <f>IF(LEN(VLOOKUP(A40,'Species List'!$A:$G,4,FALSE))=0,"",VLOOKUP(A40,'Species List'!$A:$G,4,FALSE))</f>
        <v>H</v>
      </c>
      <c r="F40" s="44" t="str">
        <f>IF(LEN(VLOOKUP(A40,'Species List'!$A:$G,5,FALSE))=0,"",VLOOKUP(A40,'Species List'!$A:$G,5,FALSE))</f>
        <v>Introduced</v>
      </c>
      <c r="G40" s="44" t="str">
        <f>IF(LEN(VLOOKUP(A40,'Species List'!$A:$G,6,FALSE))=0,"",VLOOKUP(A40,'Species List'!$A:$G,6,FALSE))</f>
        <v>FACU</v>
      </c>
      <c r="H40" s="44">
        <f>VLOOKUP(A40,'Species List'!$A:$G,7,FALSE)</f>
        <v>0</v>
      </c>
      <c r="J40" s="121" t="s">
        <v>5420</v>
      </c>
      <c r="K40" s="47" t="str">
        <f>VLOOKUP(J40,'Species List'!$H$1:$J$9,2,FALSE)</f>
        <v>&gt;0-1%</v>
      </c>
      <c r="L40" s="47">
        <f>VLOOKUP(K40,'Species List'!$I$1:$N$8,2,FALSE)</f>
        <v>0.5</v>
      </c>
      <c r="M40" s="104">
        <f t="shared" si="1"/>
        <v>0.5</v>
      </c>
      <c r="N40" s="102">
        <f t="shared" si="2"/>
        <v>2.5906735751295338E-3</v>
      </c>
      <c r="O40" s="102">
        <f t="shared" si="3"/>
        <v>0</v>
      </c>
    </row>
    <row r="41" spans="1:15" x14ac:dyDescent="0.2">
      <c r="A41" s="116" t="s">
        <v>2241</v>
      </c>
      <c r="B41" s="44" t="str">
        <f>IF(LEN(VLOOKUP(A41,'Species List'!$A:$G,2,FALSE))=0,"",VLOOKUP(A41,'Species List'!$A:$G,2,FALSE))</f>
        <v>white avens</v>
      </c>
      <c r="C41" s="44">
        <f>IF(LEN(VLOOKUP(A41,'Species List'!$A:$G,3,FALSE))=0,"",VLOOKUP(A41,'Species List'!$A:$G,3,FALSE))</f>
        <v>2</v>
      </c>
      <c r="D41" s="103">
        <f t="shared" si="0"/>
        <v>2</v>
      </c>
      <c r="E41" s="44" t="str">
        <f>IF(LEN(VLOOKUP(A41,'Species List'!$A:$G,4,FALSE))=0,"",VLOOKUP(A41,'Species List'!$A:$G,4,FALSE))</f>
        <v>H</v>
      </c>
      <c r="F41" s="44" t="str">
        <f>IF(LEN(VLOOKUP(A41,'Species List'!$A:$G,5,FALSE))=0,"",VLOOKUP(A41,'Species List'!$A:$G,5,FALSE))</f>
        <v>Native</v>
      </c>
      <c r="G41" s="44" t="str">
        <f>IF(LEN(VLOOKUP(A41,'Species List'!$A:$G,6,FALSE))=0,"",VLOOKUP(A41,'Species List'!$A:$G,6,FALSE))</f>
        <v>FAC</v>
      </c>
      <c r="H41" s="44">
        <f>VLOOKUP(A41,'Species List'!$A:$G,7,FALSE)</f>
        <v>0</v>
      </c>
      <c r="J41" s="121" t="s">
        <v>5420</v>
      </c>
      <c r="K41" s="47" t="str">
        <f>VLOOKUP(J41,'Species List'!$H$1:$J$9,2,FALSE)</f>
        <v>&gt;0-1%</v>
      </c>
      <c r="L41" s="47">
        <f>VLOOKUP(K41,'Species List'!$I$1:$N$8,2,FALSE)</f>
        <v>0.5</v>
      </c>
      <c r="M41" s="104">
        <f t="shared" si="1"/>
        <v>0.5</v>
      </c>
      <c r="N41" s="102">
        <f t="shared" si="2"/>
        <v>2.5906735751295338E-3</v>
      </c>
      <c r="O41" s="102">
        <f t="shared" si="3"/>
        <v>5.1813471502590676E-3</v>
      </c>
    </row>
    <row r="42" spans="1:15" x14ac:dyDescent="0.2">
      <c r="A42" s="116" t="s">
        <v>2046</v>
      </c>
      <c r="B42" s="44" t="str">
        <f>IF(LEN(VLOOKUP(A42,'Species List'!$A:$G,2,FALSE))=0,"",VLOOKUP(A42,'Species List'!$A:$G,2,FALSE))</f>
        <v>common boneset</v>
      </c>
      <c r="C42" s="44">
        <f>IF(LEN(VLOOKUP(A42,'Species List'!$A:$G,3,FALSE))=0,"",VLOOKUP(A42,'Species List'!$A:$G,3,FALSE))</f>
        <v>4</v>
      </c>
      <c r="D42" s="103">
        <f t="shared" si="0"/>
        <v>4</v>
      </c>
      <c r="E42" s="44" t="str">
        <f>IF(LEN(VLOOKUP(A42,'Species List'!$A:$G,4,FALSE))=0,"",VLOOKUP(A42,'Species List'!$A:$G,4,FALSE))</f>
        <v>H</v>
      </c>
      <c r="F42" s="44" t="str">
        <f>IF(LEN(VLOOKUP(A42,'Species List'!$A:$G,5,FALSE))=0,"",VLOOKUP(A42,'Species List'!$A:$G,5,FALSE))</f>
        <v>Native</v>
      </c>
      <c r="G42" s="44" t="str">
        <f>IF(LEN(VLOOKUP(A42,'Species List'!$A:$G,6,FALSE))=0,"",VLOOKUP(A42,'Species List'!$A:$G,6,FALSE))</f>
        <v>[FACW+]</v>
      </c>
      <c r="H42" s="44">
        <f>VLOOKUP(A42,'Species List'!$A:$G,7,FALSE)</f>
        <v>0</v>
      </c>
      <c r="J42" s="121" t="s">
        <v>5418</v>
      </c>
      <c r="K42" s="47" t="str">
        <f>VLOOKUP(J42,'Species List'!$H$1:$J$9,2,FALSE)</f>
        <v>&gt;1-5%</v>
      </c>
      <c r="L42" s="47">
        <f>VLOOKUP(K42,'Species List'!$I$1:$N$8,2,FALSE)</f>
        <v>3</v>
      </c>
      <c r="M42" s="104">
        <f t="shared" si="1"/>
        <v>3</v>
      </c>
      <c r="N42" s="102">
        <f t="shared" si="2"/>
        <v>1.5544041450777202E-2</v>
      </c>
      <c r="O42" s="102">
        <f t="shared" si="3"/>
        <v>6.2176165803108807E-2</v>
      </c>
    </row>
    <row r="43" spans="1:15" x14ac:dyDescent="0.2">
      <c r="A43" s="116" t="s">
        <v>2090</v>
      </c>
      <c r="B43" s="44" t="str">
        <f>IF(LEN(VLOOKUP(A43,'Species List'!$A:$G,2,FALSE))=0,"",VLOOKUP(A43,'Species List'!$A:$G,2,FALSE))</f>
        <v>spotted Joe pye weed</v>
      </c>
      <c r="C43" s="44">
        <f>IF(LEN(VLOOKUP(A43,'Species List'!$A:$G,3,FALSE))=0,"",VLOOKUP(A43,'Species List'!$A:$G,3,FALSE))</f>
        <v>4</v>
      </c>
      <c r="D43" s="103">
        <f t="shared" si="0"/>
        <v>4</v>
      </c>
      <c r="E43" s="44" t="str">
        <f>IF(LEN(VLOOKUP(A43,'Species List'!$A:$G,4,FALSE))=0,"",VLOOKUP(A43,'Species List'!$A:$G,4,FALSE))</f>
        <v>H</v>
      </c>
      <c r="F43" s="44" t="str">
        <f>IF(LEN(VLOOKUP(A43,'Species List'!$A:$G,5,FALSE))=0,"",VLOOKUP(A43,'Species List'!$A:$G,5,FALSE))</f>
        <v>Native</v>
      </c>
      <c r="G43" s="44" t="str">
        <f>IF(LEN(VLOOKUP(A43,'Species List'!$A:$G,6,FALSE))=0,"",VLOOKUP(A43,'Species List'!$A:$G,6,FALSE))</f>
        <v>OBL</v>
      </c>
      <c r="H43" s="44">
        <f>VLOOKUP(A43,'Species List'!$A:$G,7,FALSE)</f>
        <v>0</v>
      </c>
      <c r="J43" s="121" t="s">
        <v>5420</v>
      </c>
      <c r="K43" s="47" t="str">
        <f>VLOOKUP(J43,'Species List'!$H$1:$J$9,2,FALSE)</f>
        <v>&gt;0-1%</v>
      </c>
      <c r="L43" s="47">
        <f>VLOOKUP(K43,'Species List'!$I$1:$N$8,2,FALSE)</f>
        <v>0.5</v>
      </c>
      <c r="M43" s="104">
        <f t="shared" si="1"/>
        <v>0.5</v>
      </c>
      <c r="N43" s="102">
        <f t="shared" si="2"/>
        <v>2.5906735751295338E-3</v>
      </c>
      <c r="O43" s="102">
        <f t="shared" si="3"/>
        <v>1.0362694300518135E-2</v>
      </c>
    </row>
    <row r="44" spans="1:15" x14ac:dyDescent="0.2">
      <c r="A44" s="117" t="s">
        <v>4605</v>
      </c>
      <c r="B44" s="44" t="str">
        <f>IF(LEN(VLOOKUP(A44,'Species List'!$A:$G,2,FALSE))=0,"",VLOOKUP(A44,'Species List'!$A:$G,2,FALSE))</f>
        <v/>
      </c>
      <c r="C44" s="44">
        <f>IF(LEN(VLOOKUP(A44,'Species List'!$A:$G,3,FALSE))=0,"",VLOOKUP(A44,'Species List'!$A:$G,3,FALSE))</f>
        <v>1</v>
      </c>
      <c r="D44" s="103">
        <f t="shared" si="0"/>
        <v>1</v>
      </c>
      <c r="E44" s="44" t="str">
        <f>IF(LEN(VLOOKUP(A44,'Species List'!$A:$G,4,FALSE))=0,"",VLOOKUP(A44,'Species List'!$A:$G,4,FALSE))</f>
        <v>H</v>
      </c>
      <c r="F44" s="44" t="str">
        <f>IF(LEN(VLOOKUP(A44,'Species List'!$A:$G,5,FALSE))=0,"",VLOOKUP(A44,'Species List'!$A:$G,5,FALSE))</f>
        <v>Native</v>
      </c>
      <c r="G44" s="44" t="str">
        <f>IF(LEN(VLOOKUP(A44,'Species List'!$A:$G,6,FALSE))=0,"",VLOOKUP(A44,'Species List'!$A:$G,6,FALSE))</f>
        <v>FACW</v>
      </c>
      <c r="H44" s="44">
        <f>VLOOKUP(A44,'Species List'!$A:$G,7,FALSE)</f>
        <v>0</v>
      </c>
      <c r="J44" s="121" t="s">
        <v>5420</v>
      </c>
      <c r="K44" s="47" t="str">
        <f>VLOOKUP(J44,'Species List'!$H$1:$J$9,2,FALSE)</f>
        <v>&gt;0-1%</v>
      </c>
      <c r="L44" s="47">
        <f>VLOOKUP(K44,'Species List'!$I$1:$N$8,2,FALSE)</f>
        <v>0.5</v>
      </c>
      <c r="M44" s="104">
        <f t="shared" si="1"/>
        <v>0.5</v>
      </c>
      <c r="N44" s="102">
        <f t="shared" si="2"/>
        <v>2.5906735751295338E-3</v>
      </c>
      <c r="O44" s="102">
        <f t="shared" si="3"/>
        <v>2.5906735751295338E-3</v>
      </c>
    </row>
    <row r="45" spans="1:15" x14ac:dyDescent="0.2">
      <c r="A45" s="116" t="s">
        <v>3397</v>
      </c>
      <c r="B45" s="44" t="str">
        <f>IF(LEN(VLOOKUP(A45,'Species List'!$A:$G,2,FALSE))=0,"",VLOOKUP(A45,'Species List'!$A:$G,2,FALSE))</f>
        <v>northern green orchid</v>
      </c>
      <c r="C45" s="44">
        <f>IF(LEN(VLOOKUP(A45,'Species List'!$A:$G,3,FALSE))=0,"",VLOOKUP(A45,'Species List'!$A:$G,3,FALSE))</f>
        <v>7</v>
      </c>
      <c r="D45" s="103">
        <f t="shared" si="0"/>
        <v>7</v>
      </c>
      <c r="E45" s="44" t="str">
        <f>IF(LEN(VLOOKUP(A45,'Species List'!$A:$G,4,FALSE))=0,"",VLOOKUP(A45,'Species List'!$A:$G,4,FALSE))</f>
        <v>H</v>
      </c>
      <c r="F45" s="44" t="str">
        <f>IF(LEN(VLOOKUP(A45,'Species List'!$A:$G,5,FALSE))=0,"",VLOOKUP(A45,'Species List'!$A:$G,5,FALSE))</f>
        <v>Native</v>
      </c>
      <c r="G45" s="44" t="str">
        <f>IF(LEN(VLOOKUP(A45,'Species List'!$A:$G,6,FALSE))=0,"",VLOOKUP(A45,'Species List'!$A:$G,6,FALSE))</f>
        <v>FACW</v>
      </c>
      <c r="H45" s="44">
        <f>VLOOKUP(A45,'Species List'!$A:$G,7,FALSE)</f>
        <v>0</v>
      </c>
      <c r="J45" s="121" t="s">
        <v>5420</v>
      </c>
      <c r="K45" s="47" t="str">
        <f>VLOOKUP(J45,'Species List'!$H$1:$J$9,2,FALSE)</f>
        <v>&gt;0-1%</v>
      </c>
      <c r="L45" s="47">
        <f>VLOOKUP(K45,'Species List'!$I$1:$N$8,2,FALSE)</f>
        <v>0.5</v>
      </c>
      <c r="M45" s="104">
        <f t="shared" si="1"/>
        <v>0.5</v>
      </c>
      <c r="N45" s="102">
        <f t="shared" si="2"/>
        <v>2.5906735751295338E-3</v>
      </c>
      <c r="O45" s="102">
        <f t="shared" si="3"/>
        <v>1.8134715025906738E-2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47" t="s">
        <v>5387</v>
      </c>
      <c r="J151" s="148"/>
      <c r="K151" s="149"/>
      <c r="L151" s="63">
        <f>SUMIF(L10:L150,"&gt;=0")</f>
        <v>193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A47:A150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I13" sqref="I13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45" t="s">
        <v>127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46"/>
      <c r="C7" s="146"/>
      <c r="D7" s="146"/>
      <c r="E7" s="146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 t="s">
        <v>5448</v>
      </c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122" t="s">
        <v>2620</v>
      </c>
      <c r="B12" s="44" t="str">
        <f>IF(LEN(VLOOKUP(A12,'Species List'!$A:$G,2,FALSE))=0,"",VLOOKUP(A12,'Species List'!$A:$G,2,FALSE))</f>
        <v>rice cut grass</v>
      </c>
      <c r="C12" s="44">
        <f>IF(LEN(VLOOKUP(A12,'Species List'!$A:$G,3,FALSE))=0,"",VLOOKUP(A12,'Species List'!$A:$G,3,FALSE))</f>
        <v>3</v>
      </c>
      <c r="D12" s="103">
        <f>VALUE(C12)</f>
        <v>3</v>
      </c>
      <c r="E12" s="44" t="str">
        <f>IF(LEN(VLOOKUP(A12,'Species List'!$A:$G,4,FALSE))=0,"",VLOOKUP(A12,'Species List'!$A:$G,4,FALSE))</f>
        <v>G</v>
      </c>
      <c r="F12" s="44" t="str">
        <f>IF(LEN(VLOOKUP(A12,'Species List'!$A:$G,5,FALSE))=0,"",VLOOKUP(A12,'Species List'!$A:$G,5,FALSE))</f>
        <v>Native</v>
      </c>
      <c r="G12" s="44" t="str">
        <f>IF(LEN(VLOOKUP(A12,'Species List'!$A:$G,6,FALSE))=0,"",VLOOKUP(A12,'Species List'!$A:$G,6,FALSE))</f>
        <v>OBL</v>
      </c>
      <c r="H12" s="44">
        <f>VLOOKUP(A12,'Species List'!$A:$G,7,FALSE)</f>
        <v>0</v>
      </c>
      <c r="J12" s="121">
        <v>2</v>
      </c>
      <c r="K12" s="47" t="str">
        <f>VLOOKUP(J12,'Species List'!$H$1:$J$9,2,FALSE)</f>
        <v>&gt;5-25%</v>
      </c>
      <c r="L12" s="47">
        <f>VLOOKUP(K12,'Species List'!$I$1:$N$8,2,FALSE)</f>
        <v>15</v>
      </c>
      <c r="M12" s="104">
        <f>VALUE(L12)</f>
        <v>15</v>
      </c>
      <c r="N12" s="102">
        <f t="shared" ref="N12:N75" si="0">L12/$L$151</f>
        <v>0.45454545454545453</v>
      </c>
      <c r="O12" s="31">
        <f>D12*N12</f>
        <v>1.3636363636363635</v>
      </c>
    </row>
    <row r="13" spans="1:15" x14ac:dyDescent="0.2">
      <c r="A13" s="116" t="s">
        <v>3290</v>
      </c>
      <c r="B13" s="44" t="str">
        <f>IF(LEN(VLOOKUP(A13,'Species List'!$A:$G,2,FALSE))=0,"",VLOOKUP(A13,'Species List'!$A:$G,2,FALSE))</f>
        <v>reed canary grass</v>
      </c>
      <c r="C13" s="44">
        <f>IF(LEN(VLOOKUP(A13,'Species List'!$A:$G,3,FALSE))=0,"",VLOOKUP(A13,'Species List'!$A:$G,3,FALSE))</f>
        <v>0</v>
      </c>
      <c r="D13" s="103">
        <f t="shared" ref="D13:D18" si="1">VALUE(C13)</f>
        <v>0</v>
      </c>
      <c r="E13" s="44" t="str">
        <f>IF(LEN(VLOOKUP(A13,'Species List'!$A:$G,4,FALSE))=0,"",VLOOKUP(A13,'Species List'!$A:$G,4,FALSE))</f>
        <v>G</v>
      </c>
      <c r="F13" s="44" t="str">
        <f>IF(LEN(VLOOKUP(A13,'Species List'!$A:$G,5,FALSE))=0,"",VLOOKUP(A13,'Species List'!$A:$G,5,FALSE))</f>
        <v>Introduced</v>
      </c>
      <c r="G13" s="44" t="str">
        <f>IF(LEN(VLOOKUP(A13,'Species List'!$A:$G,6,FALSE))=0,"",VLOOKUP(A13,'Species List'!$A:$G,6,FALSE))</f>
        <v>FACW+</v>
      </c>
      <c r="H13" s="44">
        <f>VLOOKUP(A13,'Species List'!$A:$G,7,FALSE)</f>
        <v>0</v>
      </c>
      <c r="J13" s="121">
        <v>1</v>
      </c>
      <c r="K13" s="47" t="str">
        <f>VLOOKUP(J13,'Species List'!$H$1:$J$9,2,FALSE)</f>
        <v>&gt;1-5%</v>
      </c>
      <c r="L13" s="47">
        <f>VLOOKUP(K13,'Species List'!$I$1:$N$8,2,FALSE)</f>
        <v>3</v>
      </c>
      <c r="M13" s="104">
        <f t="shared" ref="M13:M76" si="2">VALUE(L13)</f>
        <v>3</v>
      </c>
      <c r="N13" s="102">
        <f t="shared" si="0"/>
        <v>9.0909090909090912E-2</v>
      </c>
      <c r="O13" s="102">
        <f t="shared" ref="O13:O76" si="3">D13*N13</f>
        <v>0</v>
      </c>
    </row>
    <row r="14" spans="1:15" x14ac:dyDescent="0.2">
      <c r="A14" s="116" t="s">
        <v>955</v>
      </c>
      <c r="B14" s="44" t="str">
        <f>IF(LEN(VLOOKUP(A14,'Species List'!$A:$G,2,FALSE))=0,"",VLOOKUP(A14,'Species List'!$A:$G,2,FALSE))</f>
        <v>bristly sedge</v>
      </c>
      <c r="C14" s="44">
        <f>IF(LEN(VLOOKUP(A14,'Species List'!$A:$G,3,FALSE))=0,"",VLOOKUP(A14,'Species List'!$A:$G,3,FALSE))</f>
        <v>4</v>
      </c>
      <c r="D14" s="103">
        <f t="shared" si="1"/>
        <v>4</v>
      </c>
      <c r="E14" s="44" t="str">
        <f>IF(LEN(VLOOKUP(A14,'Species List'!$A:$G,4,FALSE))=0,"",VLOOKUP(A14,'Species List'!$A:$G,4,FALSE))</f>
        <v>G</v>
      </c>
      <c r="F14" s="44" t="str">
        <f>IF(LEN(VLOOKUP(A14,'Species List'!$A:$G,5,FALSE))=0,"",VLOOKUP(A14,'Species List'!$A:$G,5,FALSE))</f>
        <v>Native</v>
      </c>
      <c r="G14" s="44" t="str">
        <f>IF(LEN(VLOOKUP(A14,'Species List'!$A:$G,6,FALSE))=0,"",VLOOKUP(A14,'Species List'!$A:$G,6,FALSE))</f>
        <v>OBL</v>
      </c>
      <c r="H14" s="44">
        <f>VLOOKUP(A14,'Species List'!$A:$G,7,FALSE)</f>
        <v>0</v>
      </c>
      <c r="J14" s="121" t="s">
        <v>5418</v>
      </c>
      <c r="K14" s="47" t="str">
        <f>VLOOKUP(J14,'Species List'!$H$1:$J$9,2,FALSE)</f>
        <v>&gt;1-5%</v>
      </c>
      <c r="L14" s="47">
        <f>VLOOKUP(K14,'Species List'!$I$1:$N$8,2,FALSE)</f>
        <v>3</v>
      </c>
      <c r="M14" s="104">
        <f t="shared" si="2"/>
        <v>3</v>
      </c>
      <c r="N14" s="102">
        <f t="shared" si="0"/>
        <v>9.0909090909090912E-2</v>
      </c>
      <c r="O14" s="102">
        <f t="shared" si="3"/>
        <v>0.36363636363636365</v>
      </c>
    </row>
    <row r="15" spans="1:15" x14ac:dyDescent="0.2">
      <c r="A15" s="123" t="s">
        <v>3445</v>
      </c>
      <c r="B15" s="44" t="str">
        <f>IF(LEN(VLOOKUP(A15,'Species List'!$A:$G,2,FALSE))=0,"",VLOOKUP(A15,'Species List'!$A:$G,2,FALSE))</f>
        <v>Kentucky bluegrass</v>
      </c>
      <c r="C15" s="44">
        <f>IF(LEN(VLOOKUP(A15,'Species List'!$A:$G,3,FALSE))=0,"",VLOOKUP(A15,'Species List'!$A:$G,3,FALSE))</f>
        <v>0</v>
      </c>
      <c r="D15" s="103">
        <f t="shared" si="1"/>
        <v>0</v>
      </c>
      <c r="E15" s="44" t="str">
        <f>IF(LEN(VLOOKUP(A15,'Species List'!$A:$G,4,FALSE))=0,"",VLOOKUP(A15,'Species List'!$A:$G,4,FALSE))</f>
        <v>G</v>
      </c>
      <c r="F15" s="44" t="str">
        <f>IF(LEN(VLOOKUP(A15,'Species List'!$A:$G,5,FALSE))=0,"",VLOOKUP(A15,'Species List'!$A:$G,5,FALSE))</f>
        <v>Introduced</v>
      </c>
      <c r="G15" s="44" t="str">
        <f>IF(LEN(VLOOKUP(A15,'Species List'!$A:$G,6,FALSE))=0,"",VLOOKUP(A15,'Species List'!$A:$G,6,FALSE))</f>
        <v>FAC</v>
      </c>
      <c r="H15" s="44">
        <f>VLOOKUP(A15,'Species List'!$A:$G,7,FALSE)</f>
        <v>0</v>
      </c>
      <c r="J15" s="124" t="s">
        <v>5418</v>
      </c>
      <c r="K15" s="47" t="str">
        <f>VLOOKUP(J15,'Species List'!$H$1:$J$9,2,FALSE)</f>
        <v>&gt;1-5%</v>
      </c>
      <c r="L15" s="47">
        <f>VLOOKUP(K15,'Species List'!$I$1:$N$8,2,FALSE)</f>
        <v>3</v>
      </c>
      <c r="M15" s="104">
        <f t="shared" si="2"/>
        <v>3</v>
      </c>
      <c r="N15" s="102">
        <f t="shared" si="0"/>
        <v>9.0909090909090912E-2</v>
      </c>
      <c r="O15" s="102">
        <f t="shared" si="3"/>
        <v>0</v>
      </c>
    </row>
    <row r="16" spans="1:15" x14ac:dyDescent="0.2">
      <c r="A16" s="116" t="s">
        <v>4907</v>
      </c>
      <c r="B16" s="44" t="str">
        <f>IF(LEN(VLOOKUP(A16,'Species List'!$A:$G,2,FALSE))=0,"",VLOOKUP(A16,'Species List'!$A:$G,2,FALSE))</f>
        <v/>
      </c>
      <c r="C16" s="44">
        <v>3</v>
      </c>
      <c r="D16" s="103">
        <f t="shared" si="1"/>
        <v>3</v>
      </c>
      <c r="E16" s="44" t="str">
        <f>IF(LEN(VLOOKUP(A16,'Species List'!$A:$G,4,FALSE))=0,"",VLOOKUP(A16,'Species List'!$A:$G,4,FALSE))</f>
        <v>G</v>
      </c>
      <c r="F16" s="44" t="str">
        <f>IF(LEN(VLOOKUP(A16,'Species List'!$A:$G,5,FALSE))=0,"",VLOOKUP(A16,'Species List'!$A:$G,5,FALSE))</f>
        <v>Native</v>
      </c>
      <c r="G16" s="44" t="str">
        <f>IF(LEN(VLOOKUP(A16,'Species List'!$A:$G,6,FALSE))=0,"",VLOOKUP(A16,'Species List'!$A:$G,6,FALSE))</f>
        <v/>
      </c>
      <c r="H16" s="44">
        <f>VLOOKUP(A16,'Species List'!$A:$G,7,FALSE)</f>
        <v>0</v>
      </c>
      <c r="J16" s="121" t="s">
        <v>5418</v>
      </c>
      <c r="K16" s="47" t="str">
        <f>VLOOKUP(J16,'Species List'!$H$1:$J$9,2,FALSE)</f>
        <v>&gt;1-5%</v>
      </c>
      <c r="L16" s="47">
        <f>VLOOKUP(K16,'Species List'!$I$1:$N$8,2,FALSE)</f>
        <v>3</v>
      </c>
      <c r="M16" s="104">
        <f t="shared" si="2"/>
        <v>3</v>
      </c>
      <c r="N16" s="102">
        <f t="shared" si="0"/>
        <v>9.0909090909090912E-2</v>
      </c>
      <c r="O16" s="102">
        <f t="shared" si="3"/>
        <v>0.27272727272727271</v>
      </c>
    </row>
    <row r="17" spans="1:15" x14ac:dyDescent="0.2">
      <c r="A17" s="116" t="s">
        <v>806</v>
      </c>
      <c r="B17" s="44" t="str">
        <f>IF(LEN(VLOOKUP(A17,'Species List'!$A:$G,2,FALSE))=0,"",VLOOKUP(A17,'Species List'!$A:$G,2,FALSE))</f>
        <v>bluejoint</v>
      </c>
      <c r="C17" s="44">
        <f>IF(LEN(VLOOKUP(A17,'Species List'!$A:$G,3,FALSE))=0,"",VLOOKUP(A17,'Species List'!$A:$G,3,FALSE))</f>
        <v>4</v>
      </c>
      <c r="D17" s="103">
        <f t="shared" si="1"/>
        <v>4</v>
      </c>
      <c r="E17" s="44" t="str">
        <f>IF(LEN(VLOOKUP(A17,'Species List'!$A:$G,4,FALSE))=0,"",VLOOKUP(A17,'Species List'!$A:$G,4,FALSE))</f>
        <v>G</v>
      </c>
      <c r="F17" s="44" t="str">
        <f>IF(LEN(VLOOKUP(A17,'Species List'!$A:$G,5,FALSE))=0,"",VLOOKUP(A17,'Species List'!$A:$G,5,FALSE))</f>
        <v>Native</v>
      </c>
      <c r="G17" s="44" t="str">
        <f>IF(LEN(VLOOKUP(A17,'Species List'!$A:$G,6,FALSE))=0,"",VLOOKUP(A17,'Species List'!$A:$G,6,FALSE))</f>
        <v>OBL</v>
      </c>
      <c r="H17" s="44">
        <f>VLOOKUP(A17,'Species List'!$A:$G,7,FALSE)</f>
        <v>0</v>
      </c>
      <c r="J17" s="121">
        <v>1</v>
      </c>
      <c r="K17" s="47" t="str">
        <f>VLOOKUP(J17,'Species List'!$H$1:$J$9,2,FALSE)</f>
        <v>&gt;1-5%</v>
      </c>
      <c r="L17" s="47">
        <f>VLOOKUP(K17,'Species List'!$I$1:$N$8,2,FALSE)</f>
        <v>3</v>
      </c>
      <c r="M17" s="104">
        <f t="shared" si="2"/>
        <v>3</v>
      </c>
      <c r="N17" s="102">
        <f t="shared" si="0"/>
        <v>9.0909090909090912E-2</v>
      </c>
      <c r="O17" s="102">
        <f t="shared" si="3"/>
        <v>0.36363636363636365</v>
      </c>
    </row>
    <row r="18" spans="1:15" x14ac:dyDescent="0.2">
      <c r="A18" s="116" t="s">
        <v>2260</v>
      </c>
      <c r="B18" s="44" t="str">
        <f>IF(LEN(VLOOKUP(A18,'Species List'!$A:$G,2,FALSE))=0,"",VLOOKUP(A18,'Species List'!$A:$G,2,FALSE))</f>
        <v/>
      </c>
      <c r="C18" s="44">
        <f>IF(LEN(VLOOKUP(A18,'Species List'!$A:$G,3,FALSE))=0,"",VLOOKUP(A18,'Species List'!$A:$G,3,FALSE))</f>
        <v>6</v>
      </c>
      <c r="D18" s="103">
        <f t="shared" si="1"/>
        <v>6</v>
      </c>
      <c r="E18" s="44" t="str">
        <f>IF(LEN(VLOOKUP(A18,'Species List'!$A:$G,4,FALSE))=0,"",VLOOKUP(A18,'Species List'!$A:$G,4,FALSE))</f>
        <v>G</v>
      </c>
      <c r="F18" s="44" t="str">
        <f>IF(LEN(VLOOKUP(A18,'Species List'!$A:$G,5,FALSE))=0,"",VLOOKUP(A18,'Species List'!$A:$G,5,FALSE))</f>
        <v>Native</v>
      </c>
      <c r="G18" s="44" t="str">
        <f>IF(LEN(VLOOKUP(A18,'Species List'!$A:$G,6,FALSE))=0,"",VLOOKUP(A18,'Species List'!$A:$G,6,FALSE))</f>
        <v>OBL</v>
      </c>
      <c r="H18" s="44">
        <f>VLOOKUP(A18,'Species List'!$A:$G,7,FALSE)</f>
        <v>0</v>
      </c>
      <c r="J18" s="121" t="s">
        <v>5418</v>
      </c>
      <c r="K18" s="47" t="str">
        <f>VLOOKUP(J18,'Species List'!$H$1:$J$9,2,FALSE)</f>
        <v>&gt;1-5%</v>
      </c>
      <c r="L18" s="47">
        <f>VLOOKUP(K18,'Species List'!$I$1:$N$8,2,FALSE)</f>
        <v>3</v>
      </c>
      <c r="M18" s="104">
        <f t="shared" si="2"/>
        <v>3</v>
      </c>
      <c r="N18" s="102">
        <f t="shared" si="0"/>
        <v>9.0909090909090912E-2</v>
      </c>
      <c r="O18" s="102">
        <f t="shared" si="3"/>
        <v>0.54545454545454541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2"/>
        <v>#N/A</v>
      </c>
      <c r="N19" s="102" t="e">
        <f t="shared" si="0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102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102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47" t="s">
        <v>5387</v>
      </c>
      <c r="J151" s="148"/>
      <c r="K151" s="149"/>
      <c r="L151" s="63">
        <f>SUMIF(L10:L150,"&gt;=0")</f>
        <v>33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A19:A150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F9" sqref="F9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50" t="s">
        <v>4840</v>
      </c>
      <c r="B1" s="150"/>
      <c r="C1" s="150"/>
      <c r="D1" s="150"/>
      <c r="E1" s="150"/>
      <c r="F1" s="150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6">
        <f>COUNTIF(Woody!$F$10:$F$149,"Native")</f>
        <v>15</v>
      </c>
      <c r="C4" s="106">
        <f>COUNTIF(Forbs!$F$10:$F$148,"Native")</f>
        <v>30</v>
      </c>
      <c r="D4" s="106">
        <f>COUNTIF(Grasses!$F$10:$F$149,"Native")</f>
        <v>5</v>
      </c>
      <c r="E4" s="106">
        <f>AVERAGE(B4:D4)</f>
        <v>16.666666666666668</v>
      </c>
      <c r="F4" s="106">
        <f>SUM(B4:D4)</f>
        <v>50</v>
      </c>
    </row>
    <row r="5" spans="1:6" ht="17.399999999999999" x14ac:dyDescent="0.3">
      <c r="A5" s="53" t="s">
        <v>4845</v>
      </c>
      <c r="B5" s="106">
        <f>COUNTIF(Woody!$F10:$F199,"Introduced")</f>
        <v>3</v>
      </c>
      <c r="C5" s="106">
        <f>COUNTIF(Forbs!$F10:$F199,"Introduced")</f>
        <v>4</v>
      </c>
      <c r="D5" s="106">
        <f>COUNTIF(Grasses!$F10:$F199,"Introduced")</f>
        <v>2</v>
      </c>
      <c r="E5" s="106">
        <f t="shared" ref="E5:E6" si="0">AVERAGE(B5:D5)</f>
        <v>3</v>
      </c>
      <c r="F5" s="106">
        <f>SUM(B5:D5)</f>
        <v>9</v>
      </c>
    </row>
    <row r="6" spans="1:6" s="83" customFormat="1" ht="19.8" x14ac:dyDescent="0.4">
      <c r="A6" s="53" t="s">
        <v>5422</v>
      </c>
      <c r="B6" s="106">
        <f>SUM(B4:B5)</f>
        <v>18</v>
      </c>
      <c r="C6" s="106">
        <f>SUM(C4:C5)</f>
        <v>34</v>
      </c>
      <c r="D6" s="106">
        <f>SUM(D4:D5)</f>
        <v>7</v>
      </c>
      <c r="E6" s="106">
        <f t="shared" si="0"/>
        <v>19.666666666666668</v>
      </c>
      <c r="F6" s="106">
        <f>SUM(B6:D6)</f>
        <v>59</v>
      </c>
    </row>
    <row r="7" spans="1:6" ht="17.399999999999999" x14ac:dyDescent="0.3">
      <c r="A7" s="53" t="s">
        <v>4846</v>
      </c>
      <c r="B7" s="106">
        <f>AVERAGEIF(Woody!D12:D150,"&gt;0")</f>
        <v>3.8</v>
      </c>
      <c r="C7" s="106">
        <f>AVERAGEIF(Forbs!D12:D150,"&gt;0")</f>
        <v>4.166666666666667</v>
      </c>
      <c r="D7" s="106">
        <f>AVERAGEIF(Grasses!D12:D150,"&gt;0")</f>
        <v>4</v>
      </c>
      <c r="E7" s="106">
        <f>AVERAGE(B7:D7)</f>
        <v>3.9888888888888889</v>
      </c>
      <c r="F7" s="106">
        <f>(SUMIF(Woody!D12:D150,"&gt;0")+SUMIF(Forbs!D12:D150,"&gt;0")+SUMIF(Grasses!D12:D150,"&gt;0"))/(COUNTIF(Woody!D12:D150,"&gt;0")+COUNTIF(Forbs!D12:D150,"&gt;0")+COUNTIF(Grasses!D12:D150,"&gt;0"))</f>
        <v>4.04</v>
      </c>
    </row>
    <row r="8" spans="1:6" s="31" customFormat="1" ht="19.8" x14ac:dyDescent="0.4">
      <c r="A8" s="53" t="s">
        <v>5423</v>
      </c>
      <c r="B8" s="106">
        <f>AVERAGEIF(Woody!D12:D150,"&gt;=0")</f>
        <v>3.1666666666666665</v>
      </c>
      <c r="C8" s="106">
        <f>AVERAGEIF(Forbs!D12:D150,"&gt;=0")</f>
        <v>3.6764705882352939</v>
      </c>
      <c r="D8" s="106">
        <f>AVERAGEIF(Grasses!D12:D150,"&gt;=0")</f>
        <v>2.8571428571428572</v>
      </c>
      <c r="E8" s="106">
        <f>AVERAGE(B8:D8)</f>
        <v>3.2334267040149389</v>
      </c>
      <c r="F8" s="106">
        <f>(SUMIF(Woody!D12:D150,"&gt;=0")+SUMIF(Forbs!D12:D150,"&gt;=0")+SUMIF(Grasses!D12:D150,"&gt;=0"))/(COUNTIF(Woody!D12:D150,"&gt;=0")+COUNTIF(Forbs!D12:D150,"&gt;=0")+COUNTIF(Grasses!D12:D150,"&gt;=0"))</f>
        <v>3.4237288135593222</v>
      </c>
    </row>
    <row r="9" spans="1:6" ht="17.399999999999999" x14ac:dyDescent="0.3">
      <c r="A9" s="53" t="s">
        <v>4839</v>
      </c>
      <c r="B9" s="106">
        <f>SQRT(B4)*B7</f>
        <v>14.717336715588184</v>
      </c>
      <c r="C9" s="106">
        <f>SQRT(C4)*C7</f>
        <v>22.821773229381922</v>
      </c>
      <c r="D9" s="106">
        <f>SQRT(D4)*D7</f>
        <v>8.9442719099991592</v>
      </c>
      <c r="E9" s="106">
        <f>SQRT(E4)*E7</f>
        <v>16.284570697391871</v>
      </c>
      <c r="F9" s="106">
        <f>SQRT(F4)*F7</f>
        <v>28.56711395993652</v>
      </c>
    </row>
    <row r="10" spans="1:6" s="84" customFormat="1" ht="19.8" x14ac:dyDescent="0.4">
      <c r="A10" s="53" t="s">
        <v>5424</v>
      </c>
      <c r="B10" s="106">
        <f>SQRT(B6)*B8</f>
        <v>13.435028842544401</v>
      </c>
      <c r="C10" s="106">
        <f>SQRT(C6)*C8</f>
        <v>21.437323142813604</v>
      </c>
      <c r="D10" s="106">
        <f>SQRT(D6)*D8</f>
        <v>7.5592894601845453</v>
      </c>
      <c r="E10" s="106">
        <f>SQRT(E6)*E8</f>
        <v>14.339314799575535</v>
      </c>
      <c r="F10" s="106">
        <f>SQRT(F6)*F8</f>
        <v>26.298160018126421</v>
      </c>
    </row>
    <row r="11" spans="1:6" ht="17.399999999999999" x14ac:dyDescent="0.3">
      <c r="A11" s="53" t="s">
        <v>4847</v>
      </c>
      <c r="B11" s="106">
        <f>SUMIF(Woody!$M$10:$M$150,"&gt;=0")</f>
        <v>125</v>
      </c>
      <c r="C11" s="106">
        <f>SUMIF(Forbs!$M$10:$M$151,"&gt;=0")</f>
        <v>193</v>
      </c>
      <c r="D11" s="106">
        <f>SUMIF(Grasses!$M$10:$M$150,"&gt;=0")</f>
        <v>33</v>
      </c>
      <c r="E11" s="106">
        <f>AVERAGE(B11:D11)</f>
        <v>117</v>
      </c>
      <c r="F11" s="106">
        <f>SUM(B11:D11)</f>
        <v>351</v>
      </c>
    </row>
    <row r="12" spans="1:6" ht="17.399999999999999" x14ac:dyDescent="0.3">
      <c r="A12" s="53" t="s">
        <v>5388</v>
      </c>
      <c r="B12" s="106">
        <f>SUMIF(Woody!$F$10:$F$150,"Introduced",Woody!$L$10:$L$150)</f>
        <v>21</v>
      </c>
      <c r="C12" s="106">
        <f>SUMIF(Forbs!$F$10:$F$151,"Introduced",Forbs!$L$10:$L$151)</f>
        <v>9.5</v>
      </c>
      <c r="D12" s="106">
        <f>SUMIF(Grasses!$F$10:$F$150,"Introduced",Grasses!$L$10:$L$150)</f>
        <v>6</v>
      </c>
      <c r="E12" s="106">
        <f>AVERAGE(B12:D12)</f>
        <v>12.166666666666666</v>
      </c>
      <c r="F12" s="106">
        <f>SUM(B12:D12)</f>
        <v>36.5</v>
      </c>
    </row>
    <row r="13" spans="1:6" ht="18" thickBot="1" x14ac:dyDescent="0.35">
      <c r="A13" s="54" t="s">
        <v>4848</v>
      </c>
      <c r="B13" s="107">
        <f>B12/B11</f>
        <v>0.16800000000000001</v>
      </c>
      <c r="C13" s="107">
        <f>C12/C11</f>
        <v>4.9222797927461141E-2</v>
      </c>
      <c r="D13" s="107">
        <f>D12/D11</f>
        <v>0.18181818181818182</v>
      </c>
      <c r="E13" s="107">
        <f>E12/E11</f>
        <v>0.10398860398860399</v>
      </c>
      <c r="F13" s="107">
        <f>F12/F11</f>
        <v>0.10398860398860399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5">
        <f>SUMIF(Woody!$O$10:$O$150,"&gt;=0")</f>
        <v>3.1800000000000006</v>
      </c>
      <c r="C15" s="105">
        <f>SUMIF(Forbs!$O$10:$O$150,"&gt;=0")</f>
        <v>3.2772020725388593</v>
      </c>
      <c r="D15" s="105">
        <f>SUMIF(Grasses!$O$10:$O$150,"&gt;=0")</f>
        <v>2.9090909090909087</v>
      </c>
      <c r="E15" s="105">
        <f>AVERAGE(B15:D15)</f>
        <v>3.1220976605432562</v>
      </c>
      <c r="F15" s="106">
        <f>SUM(B15:D15)</f>
        <v>9.3662929816297691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2022-02-03T19:50:56Z</dcterms:modified>
</cp:coreProperties>
</file>