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16C51868-3027-4770-95C7-ED3BB70E7C87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0" l="1"/>
  <c r="B13" i="6"/>
  <c r="C13" i="6"/>
  <c r="D13" i="6" s="1"/>
  <c r="E13" i="6"/>
  <c r="F13" i="6"/>
  <c r="G13" i="6"/>
  <c r="H13" i="6"/>
  <c r="K13" i="6"/>
  <c r="L13" i="6" s="1"/>
  <c r="M13" i="6" s="1"/>
  <c r="B14" i="6"/>
  <c r="C14" i="6"/>
  <c r="D14" i="6" s="1"/>
  <c r="E14" i="6"/>
  <c r="F14" i="6"/>
  <c r="G14" i="6"/>
  <c r="H14" i="6"/>
  <c r="K14" i="6"/>
  <c r="L14" i="6" s="1"/>
  <c r="M14" i="6" s="1"/>
  <c r="F12" i="6" l="1"/>
  <c r="C12" i="6"/>
  <c r="C13" i="10"/>
  <c r="C14" i="10"/>
  <c r="C15" i="10"/>
  <c r="C16" i="10"/>
  <c r="C17" i="10"/>
  <c r="C18" i="10"/>
  <c r="C19" i="10"/>
  <c r="F13" i="9"/>
  <c r="F14" i="9"/>
  <c r="F15" i="9"/>
  <c r="F16" i="9"/>
  <c r="C13" i="9"/>
  <c r="C14" i="9"/>
  <c r="C15" i="9"/>
  <c r="C16" i="9"/>
  <c r="B12" i="9" l="1"/>
  <c r="D14" i="9"/>
  <c r="C15" i="6" l="1"/>
  <c r="C19" i="6"/>
  <c r="C20" i="6"/>
  <c r="C20" i="10"/>
  <c r="C21" i="10"/>
  <c r="C22" i="10"/>
  <c r="C23" i="10"/>
  <c r="C24" i="10"/>
  <c r="C25" i="10"/>
  <c r="C26" i="10"/>
  <c r="C28" i="10"/>
  <c r="C30" i="10"/>
  <c r="C31" i="10"/>
  <c r="C32" i="10"/>
  <c r="C33" i="10"/>
  <c r="C34" i="10"/>
  <c r="C35" i="10"/>
  <c r="C36" i="10"/>
  <c r="C37" i="10"/>
  <c r="C38" i="10"/>
  <c r="C39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5" i="9"/>
  <c r="D16" i="9"/>
  <c r="C17" i="9"/>
  <c r="C18" i="9"/>
  <c r="C19" i="9"/>
  <c r="C20" i="9"/>
  <c r="C21" i="9"/>
  <c r="C23" i="9"/>
  <c r="D17" i="6" l="1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5" i="9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30" i="10"/>
  <c r="D31" i="10"/>
  <c r="D32" i="10"/>
  <c r="F21" i="9"/>
  <c r="D21" i="9"/>
  <c r="D22" i="9"/>
  <c r="D23" i="9"/>
  <c r="C12" i="9"/>
  <c r="D12" i="9" s="1"/>
  <c r="E12" i="9"/>
  <c r="F12" i="9"/>
  <c r="G12" i="9"/>
  <c r="H12" i="9"/>
  <c r="K12" i="9"/>
  <c r="L12" i="9" s="1"/>
  <c r="M12" i="9" s="1"/>
  <c r="B13" i="9"/>
  <c r="E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D17" i="9"/>
  <c r="E17" i="9"/>
  <c r="F17" i="9"/>
  <c r="G17" i="9"/>
  <c r="H17" i="9"/>
  <c r="K17" i="9"/>
  <c r="L17" i="9" s="1"/>
  <c r="M17" i="9" s="1"/>
  <c r="B18" i="9"/>
  <c r="D18" i="9"/>
  <c r="E18" i="9"/>
  <c r="F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E21" i="9"/>
  <c r="G21" i="9"/>
  <c r="H21" i="9"/>
  <c r="K21" i="9"/>
  <c r="L21" i="9" s="1"/>
  <c r="M21" i="9" s="1"/>
  <c r="B22" i="9"/>
  <c r="E22" i="9"/>
  <c r="F22" i="9"/>
  <c r="G22" i="9"/>
  <c r="H22" i="9"/>
  <c r="K22" i="9"/>
  <c r="L22" i="9" s="1"/>
  <c r="M22" i="9" s="1"/>
  <c r="B23" i="9"/>
  <c r="E23" i="9"/>
  <c r="F23" i="9"/>
  <c r="G23" i="9"/>
  <c r="H23" i="9"/>
  <c r="K23" i="9"/>
  <c r="L23" i="9" s="1"/>
  <c r="M23" i="9" s="1"/>
  <c r="B24" i="9"/>
  <c r="C24" i="9"/>
  <c r="D24" i="9" s="1"/>
  <c r="E24" i="9"/>
  <c r="F24" i="9"/>
  <c r="G24" i="9"/>
  <c r="H24" i="9"/>
  <c r="K24" i="9"/>
  <c r="L24" i="9" s="1"/>
  <c r="M24" i="9" s="1"/>
  <c r="B25" i="9"/>
  <c r="C25" i="9"/>
  <c r="D25" i="9" s="1"/>
  <c r="E25" i="9"/>
  <c r="F25" i="9"/>
  <c r="G25" i="9"/>
  <c r="H25" i="9"/>
  <c r="K25" i="9"/>
  <c r="L25" i="9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 s="1"/>
  <c r="M27" i="9" s="1"/>
  <c r="M150" i="6" l="1"/>
  <c r="H15" i="6" l="1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E12" i="10"/>
  <c r="D12" i="10"/>
  <c r="B12" i="10"/>
  <c r="K148" i="9"/>
  <c r="L148" i="9" s="1"/>
  <c r="M148" i="9" s="1"/>
  <c r="H148" i="9"/>
  <c r="G148" i="9"/>
  <c r="F148" i="9"/>
  <c r="E148" i="9"/>
  <c r="C148" i="9"/>
  <c r="D148" i="9" s="1"/>
  <c r="B148" i="9"/>
  <c r="K147" i="9"/>
  <c r="L147" i="9" s="1"/>
  <c r="M147" i="9" s="1"/>
  <c r="H147" i="9"/>
  <c r="G147" i="9"/>
  <c r="F147" i="9"/>
  <c r="E147" i="9"/>
  <c r="C147" i="9"/>
  <c r="D147" i="9" s="1"/>
  <c r="B147" i="9"/>
  <c r="K146" i="9"/>
  <c r="L146" i="9" s="1"/>
  <c r="M146" i="9" s="1"/>
  <c r="H146" i="9"/>
  <c r="G146" i="9"/>
  <c r="F146" i="9"/>
  <c r="E146" i="9"/>
  <c r="C146" i="9"/>
  <c r="D146" i="9" s="1"/>
  <c r="B146" i="9"/>
  <c r="K145" i="9"/>
  <c r="L145" i="9" s="1"/>
  <c r="M145" i="9" s="1"/>
  <c r="H145" i="9"/>
  <c r="G145" i="9"/>
  <c r="F145" i="9"/>
  <c r="E145" i="9"/>
  <c r="C145" i="9"/>
  <c r="D145" i="9" s="1"/>
  <c r="B145" i="9"/>
  <c r="K144" i="9"/>
  <c r="L144" i="9" s="1"/>
  <c r="M144" i="9" s="1"/>
  <c r="H144" i="9"/>
  <c r="G144" i="9"/>
  <c r="F144" i="9"/>
  <c r="E144" i="9"/>
  <c r="C144" i="9"/>
  <c r="D144" i="9" s="1"/>
  <c r="B144" i="9"/>
  <c r="K143" i="9"/>
  <c r="L143" i="9" s="1"/>
  <c r="M143" i="9" s="1"/>
  <c r="H143" i="9"/>
  <c r="G143" i="9"/>
  <c r="F143" i="9"/>
  <c r="E143" i="9"/>
  <c r="C143" i="9"/>
  <c r="D143" i="9" s="1"/>
  <c r="B143" i="9"/>
  <c r="K142" i="9"/>
  <c r="L142" i="9" s="1"/>
  <c r="M142" i="9" s="1"/>
  <c r="H142" i="9"/>
  <c r="G142" i="9"/>
  <c r="F142" i="9"/>
  <c r="E142" i="9"/>
  <c r="C142" i="9"/>
  <c r="D142" i="9" s="1"/>
  <c r="B142" i="9"/>
  <c r="K141" i="9"/>
  <c r="L141" i="9" s="1"/>
  <c r="M141" i="9" s="1"/>
  <c r="H141" i="9"/>
  <c r="G141" i="9"/>
  <c r="F141" i="9"/>
  <c r="E141" i="9"/>
  <c r="C141" i="9"/>
  <c r="D141" i="9" s="1"/>
  <c r="B141" i="9"/>
  <c r="K140" i="9"/>
  <c r="L140" i="9" s="1"/>
  <c r="M140" i="9" s="1"/>
  <c r="H140" i="9"/>
  <c r="G140" i="9"/>
  <c r="F140" i="9"/>
  <c r="E140" i="9"/>
  <c r="C140" i="9"/>
  <c r="D140" i="9" s="1"/>
  <c r="B140" i="9"/>
  <c r="K139" i="9"/>
  <c r="L139" i="9" s="1"/>
  <c r="M139" i="9" s="1"/>
  <c r="H139" i="9"/>
  <c r="G139" i="9"/>
  <c r="F139" i="9"/>
  <c r="E139" i="9"/>
  <c r="C139" i="9"/>
  <c r="D139" i="9" s="1"/>
  <c r="B139" i="9"/>
  <c r="K138" i="9"/>
  <c r="L138" i="9" s="1"/>
  <c r="M138" i="9" s="1"/>
  <c r="H138" i="9"/>
  <c r="G138" i="9"/>
  <c r="F138" i="9"/>
  <c r="E138" i="9"/>
  <c r="C138" i="9"/>
  <c r="D138" i="9" s="1"/>
  <c r="B138" i="9"/>
  <c r="K137" i="9"/>
  <c r="L137" i="9" s="1"/>
  <c r="M137" i="9" s="1"/>
  <c r="H137" i="9"/>
  <c r="G137" i="9"/>
  <c r="F137" i="9"/>
  <c r="E137" i="9"/>
  <c r="C137" i="9"/>
  <c r="D137" i="9" s="1"/>
  <c r="B137" i="9"/>
  <c r="K136" i="9"/>
  <c r="L136" i="9" s="1"/>
  <c r="M136" i="9" s="1"/>
  <c r="H136" i="9"/>
  <c r="G136" i="9"/>
  <c r="F136" i="9"/>
  <c r="E136" i="9"/>
  <c r="C136" i="9"/>
  <c r="D136" i="9" s="1"/>
  <c r="B136" i="9"/>
  <c r="K135" i="9"/>
  <c r="L135" i="9" s="1"/>
  <c r="M135" i="9" s="1"/>
  <c r="H135" i="9"/>
  <c r="G135" i="9"/>
  <c r="F135" i="9"/>
  <c r="E135" i="9"/>
  <c r="C135" i="9"/>
  <c r="D135" i="9" s="1"/>
  <c r="B135" i="9"/>
  <c r="K134" i="9"/>
  <c r="L134" i="9" s="1"/>
  <c r="M134" i="9" s="1"/>
  <c r="H134" i="9"/>
  <c r="G134" i="9"/>
  <c r="F134" i="9"/>
  <c r="E134" i="9"/>
  <c r="C134" i="9"/>
  <c r="D134" i="9" s="1"/>
  <c r="B134" i="9"/>
  <c r="K133" i="9"/>
  <c r="L133" i="9" s="1"/>
  <c r="M133" i="9" s="1"/>
  <c r="H133" i="9"/>
  <c r="G133" i="9"/>
  <c r="F133" i="9"/>
  <c r="E133" i="9"/>
  <c r="C133" i="9"/>
  <c r="D133" i="9" s="1"/>
  <c r="B133" i="9"/>
  <c r="K132" i="9"/>
  <c r="L132" i="9" s="1"/>
  <c r="M132" i="9" s="1"/>
  <c r="H132" i="9"/>
  <c r="G132" i="9"/>
  <c r="F132" i="9"/>
  <c r="E132" i="9"/>
  <c r="C132" i="9"/>
  <c r="D132" i="9" s="1"/>
  <c r="B132" i="9"/>
  <c r="K131" i="9"/>
  <c r="L131" i="9" s="1"/>
  <c r="M131" i="9" s="1"/>
  <c r="H131" i="9"/>
  <c r="G131" i="9"/>
  <c r="F131" i="9"/>
  <c r="E131" i="9"/>
  <c r="C131" i="9"/>
  <c r="D131" i="9" s="1"/>
  <c r="B131" i="9"/>
  <c r="K130" i="9"/>
  <c r="L130" i="9" s="1"/>
  <c r="M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K128" i="9"/>
  <c r="L128" i="9" s="1"/>
  <c r="M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C35" i="9"/>
  <c r="D35" i="9" s="1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C31" i="9"/>
  <c r="D31" i="9" s="1"/>
  <c r="B31" i="9"/>
  <c r="K30" i="9"/>
  <c r="L30" i="9" s="1"/>
  <c r="M30" i="9" s="1"/>
  <c r="H30" i="9"/>
  <c r="G30" i="9"/>
  <c r="F30" i="9"/>
  <c r="E30" i="9"/>
  <c r="C30" i="9"/>
  <c r="D30" i="9" s="1"/>
  <c r="B30" i="9"/>
  <c r="K29" i="9"/>
  <c r="L29" i="9" s="1"/>
  <c r="M29" i="9" s="1"/>
  <c r="H29" i="9"/>
  <c r="G29" i="9"/>
  <c r="F29" i="9"/>
  <c r="E29" i="9"/>
  <c r="C29" i="9"/>
  <c r="D29" i="9" s="1"/>
  <c r="B29" i="9"/>
  <c r="K28" i="9"/>
  <c r="L28" i="9" s="1"/>
  <c r="M28" i="9" s="1"/>
  <c r="H28" i="9"/>
  <c r="G28" i="9"/>
  <c r="F28" i="9"/>
  <c r="E28" i="9"/>
  <c r="C28" i="9"/>
  <c r="D28" i="9" s="1"/>
  <c r="B28" i="9"/>
  <c r="B11" i="7" l="1"/>
  <c r="B4" i="7"/>
  <c r="B12" i="7"/>
  <c r="B13" i="7" s="1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49" i="9"/>
  <c r="B9" i="7" l="1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6" i="9"/>
  <c r="O26" i="9" s="1"/>
  <c r="N25" i="9"/>
  <c r="O25" i="9" s="1"/>
  <c r="N21" i="9"/>
  <c r="O21" i="9" s="1"/>
  <c r="N27" i="9"/>
  <c r="O27" i="9" s="1"/>
  <c r="N20" i="9"/>
  <c r="O20" i="9" s="1"/>
  <c r="N23" i="9"/>
  <c r="O23" i="9" s="1"/>
  <c r="N15" i="9"/>
  <c r="O15" i="9" s="1"/>
  <c r="N24" i="9"/>
  <c r="O24" i="9" s="1"/>
  <c r="N22" i="9"/>
  <c r="O22" i="9" s="1"/>
  <c r="N14" i="9"/>
  <c r="O14" i="9" s="1"/>
  <c r="N13" i="9"/>
  <c r="O13" i="9" s="1"/>
  <c r="N17" i="9"/>
  <c r="O17" i="9" s="1"/>
  <c r="N18" i="9"/>
  <c r="O18" i="9" s="1"/>
  <c r="N12" i="9"/>
  <c r="O12" i="9" s="1"/>
  <c r="N19" i="9"/>
  <c r="O19" i="9" s="1"/>
  <c r="N16" i="9"/>
  <c r="O16" i="9" s="1"/>
  <c r="N64" i="9"/>
  <c r="O64" i="9" s="1"/>
  <c r="N141" i="9"/>
  <c r="O141" i="9" s="1"/>
  <c r="N118" i="9"/>
  <c r="O118" i="9" s="1"/>
  <c r="N146" i="9"/>
  <c r="O146" i="9" s="1"/>
  <c r="N107" i="9"/>
  <c r="O107" i="9" s="1"/>
  <c r="N53" i="9"/>
  <c r="O53" i="9" s="1"/>
  <c r="N130" i="9"/>
  <c r="O130" i="9" s="1"/>
  <c r="N142" i="9"/>
  <c r="O142" i="9" s="1"/>
  <c r="N100" i="9"/>
  <c r="O100" i="9" s="1"/>
  <c r="N144" i="9"/>
  <c r="O144" i="9" s="1"/>
  <c r="N103" i="9"/>
  <c r="O103" i="9" s="1"/>
  <c r="N126" i="9"/>
  <c r="O126" i="9" s="1"/>
  <c r="N29" i="9"/>
  <c r="O29" i="9" s="1"/>
  <c r="N73" i="9"/>
  <c r="O73" i="9" s="1"/>
  <c r="N65" i="9"/>
  <c r="O65" i="9" s="1"/>
  <c r="N122" i="9"/>
  <c r="O122" i="9" s="1"/>
  <c r="N77" i="9"/>
  <c r="O77" i="9" s="1"/>
  <c r="N80" i="9"/>
  <c r="O80" i="9" s="1"/>
  <c r="N114" i="9"/>
  <c r="O114" i="9" s="1"/>
  <c r="N147" i="9"/>
  <c r="O147" i="9" s="1"/>
  <c r="N119" i="9"/>
  <c r="O119" i="9" s="1"/>
  <c r="N89" i="9"/>
  <c r="O89" i="9" s="1"/>
  <c r="N134" i="9"/>
  <c r="O134" i="9" s="1"/>
  <c r="N69" i="9"/>
  <c r="O69" i="9" s="1"/>
  <c r="N60" i="9"/>
  <c r="O60" i="9" s="1"/>
  <c r="N105" i="9"/>
  <c r="O105" i="9" s="1"/>
  <c r="N138" i="9"/>
  <c r="O138" i="9" s="1"/>
  <c r="N63" i="9"/>
  <c r="O63" i="9" s="1"/>
  <c r="N55" i="9"/>
  <c r="O55" i="9" s="1"/>
  <c r="N148" i="9"/>
  <c r="O148" i="9" s="1"/>
  <c r="N96" i="9"/>
  <c r="O96" i="9" s="1"/>
  <c r="N32" i="9"/>
  <c r="O32" i="9" s="1"/>
  <c r="N109" i="9"/>
  <c r="O109" i="9" s="1"/>
  <c r="N121" i="9"/>
  <c r="O121" i="9" s="1"/>
  <c r="N45" i="9"/>
  <c r="O45" i="9" s="1"/>
  <c r="N79" i="9"/>
  <c r="O79" i="9" s="1"/>
  <c r="N49" i="9"/>
  <c r="O49" i="9" s="1"/>
  <c r="N92" i="9"/>
  <c r="O92" i="9" s="1"/>
  <c r="N93" i="9"/>
  <c r="O93" i="9" s="1"/>
  <c r="N41" i="9"/>
  <c r="O41" i="9" s="1"/>
  <c r="N111" i="9"/>
  <c r="O111" i="9" s="1"/>
  <c r="N40" i="9"/>
  <c r="O40" i="9" s="1"/>
  <c r="N131" i="9"/>
  <c r="O131" i="9" s="1"/>
  <c r="N85" i="9"/>
  <c r="O85" i="9" s="1"/>
  <c r="N97" i="9"/>
  <c r="O97" i="9" s="1"/>
  <c r="N68" i="9"/>
  <c r="O68" i="9" s="1"/>
  <c r="N59" i="9"/>
  <c r="O59" i="9" s="1"/>
  <c r="N127" i="9"/>
  <c r="O127" i="9" s="1"/>
  <c r="N33" i="9"/>
  <c r="O33" i="9" s="1"/>
  <c r="N75" i="9"/>
  <c r="O75" i="9" s="1"/>
  <c r="N87" i="9"/>
  <c r="O87" i="9" s="1"/>
  <c r="N110" i="9"/>
  <c r="O110" i="9" s="1"/>
  <c r="N133" i="9"/>
  <c r="O133" i="9" s="1"/>
  <c r="N57" i="9"/>
  <c r="O57" i="9" s="1"/>
  <c r="N48" i="9"/>
  <c r="O48" i="9" s="1"/>
  <c r="N145" i="9"/>
  <c r="O145" i="9" s="1"/>
  <c r="N71" i="9"/>
  <c r="O71" i="9" s="1"/>
  <c r="N72" i="9"/>
  <c r="O72" i="9" s="1"/>
  <c r="N44" i="9"/>
  <c r="O44" i="9" s="1"/>
  <c r="N117" i="9"/>
  <c r="O117" i="9" s="1"/>
  <c r="N31" i="9"/>
  <c r="O31" i="9" s="1"/>
  <c r="N35" i="9"/>
  <c r="O35" i="9" s="1"/>
  <c r="N88" i="9"/>
  <c r="O88" i="9" s="1"/>
  <c r="N37" i="9"/>
  <c r="O37" i="9" s="1"/>
  <c r="N137" i="9"/>
  <c r="O137" i="9" s="1"/>
  <c r="N95" i="9"/>
  <c r="O95" i="9" s="1"/>
  <c r="N43" i="9"/>
  <c r="O43" i="9" s="1"/>
  <c r="N56" i="9"/>
  <c r="O56" i="9" s="1"/>
  <c r="N139" i="9"/>
  <c r="O139" i="9" s="1"/>
  <c r="N113" i="9"/>
  <c r="O113" i="9" s="1"/>
  <c r="N28" i="9"/>
  <c r="O28" i="9" s="1"/>
  <c r="N129" i="9"/>
  <c r="O129" i="9" s="1"/>
  <c r="N76" i="9"/>
  <c r="O76" i="9" s="1"/>
  <c r="N99" i="9"/>
  <c r="O99" i="9" s="1"/>
  <c r="N47" i="9"/>
  <c r="O47" i="9" s="1"/>
  <c r="N101" i="9"/>
  <c r="O101" i="9" s="1"/>
  <c r="N135" i="9"/>
  <c r="O135" i="9" s="1"/>
  <c r="N39" i="9"/>
  <c r="O39" i="9" s="1"/>
  <c r="N61" i="9"/>
  <c r="O61" i="9" s="1"/>
  <c r="N106" i="9"/>
  <c r="O106" i="9" s="1"/>
  <c r="N125" i="9"/>
  <c r="O125" i="9" s="1"/>
  <c r="N81" i="9"/>
  <c r="O81" i="9" s="1"/>
  <c r="N51" i="9"/>
  <c r="O51" i="9" s="1"/>
  <c r="N52" i="9"/>
  <c r="O52" i="9" s="1"/>
  <c r="N67" i="9"/>
  <c r="O67" i="9" s="1"/>
  <c r="N143" i="9"/>
  <c r="O143" i="9" s="1"/>
  <c r="N36" i="9"/>
  <c r="O36" i="9" s="1"/>
  <c r="N123" i="9"/>
  <c r="O123" i="9" s="1"/>
  <c r="N91" i="9"/>
  <c r="O91" i="9" s="1"/>
  <c r="N115" i="9"/>
  <c r="O115" i="9" s="1"/>
  <c r="N83" i="9"/>
  <c r="O83" i="9" s="1"/>
  <c r="N84" i="9"/>
  <c r="O84" i="9" s="1"/>
  <c r="N140" i="9"/>
  <c r="O140" i="9" s="1"/>
  <c r="N136" i="9"/>
  <c r="O136" i="9" s="1"/>
  <c r="N132" i="9"/>
  <c r="O132" i="9" s="1"/>
  <c r="N128" i="9"/>
  <c r="O128" i="9" s="1"/>
  <c r="N124" i="9"/>
  <c r="O124" i="9" s="1"/>
  <c r="N120" i="9"/>
  <c r="O120" i="9" s="1"/>
  <c r="N116" i="9"/>
  <c r="O116" i="9" s="1"/>
  <c r="N112" i="9"/>
  <c r="O112" i="9" s="1"/>
  <c r="N108" i="9"/>
  <c r="O108" i="9" s="1"/>
  <c r="N104" i="9"/>
  <c r="O104" i="9" s="1"/>
  <c r="N102" i="9"/>
  <c r="O102" i="9" s="1"/>
  <c r="N98" i="9"/>
  <c r="O98" i="9" s="1"/>
  <c r="N94" i="9"/>
  <c r="O94" i="9" s="1"/>
  <c r="N90" i="9"/>
  <c r="O90" i="9" s="1"/>
  <c r="N86" i="9"/>
  <c r="O86" i="9" s="1"/>
  <c r="N82" i="9"/>
  <c r="O82" i="9" s="1"/>
  <c r="N78" i="9"/>
  <c r="O78" i="9" s="1"/>
  <c r="N74" i="9"/>
  <c r="O74" i="9" s="1"/>
  <c r="N70" i="9"/>
  <c r="O70" i="9" s="1"/>
  <c r="N66" i="9"/>
  <c r="O66" i="9" s="1"/>
  <c r="N62" i="9"/>
  <c r="O62" i="9" s="1"/>
  <c r="N58" i="9"/>
  <c r="O58" i="9" s="1"/>
  <c r="N54" i="9"/>
  <c r="O54" i="9" s="1"/>
  <c r="N50" i="9"/>
  <c r="O50" i="9" s="1"/>
  <c r="N46" i="9"/>
  <c r="O46" i="9" s="1"/>
  <c r="N42" i="9"/>
  <c r="O42" i="9" s="1"/>
  <c r="N38" i="9"/>
  <c r="O38" i="9" s="1"/>
  <c r="N34" i="9"/>
  <c r="O34" i="9" s="1"/>
  <c r="N30" i="9"/>
  <c r="O30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5" i="6"/>
  <c r="G16" i="6"/>
  <c r="G17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12" i="7" l="1"/>
  <c r="F12" i="7" s="1"/>
  <c r="D6" i="7"/>
  <c r="D9" i="7"/>
  <c r="E4" i="7"/>
  <c r="E9" i="7" s="1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0" i="6"/>
  <c r="M128" i="6"/>
  <c r="M116" i="6"/>
  <c r="M104" i="6"/>
  <c r="M92" i="6"/>
  <c r="M80" i="6"/>
  <c r="M68" i="6"/>
  <c r="M56" i="6"/>
  <c r="M44" i="6"/>
  <c r="M32" i="6"/>
  <c r="M20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4" i="7"/>
  <c r="F5" i="7"/>
  <c r="L151" i="6"/>
  <c r="N17" i="6" l="1"/>
  <c r="O17" i="6" s="1"/>
  <c r="N14" i="6"/>
  <c r="O14" i="6" s="1"/>
  <c r="N13" i="6"/>
  <c r="O13" i="6" s="1"/>
  <c r="D11" i="7"/>
  <c r="F11" i="7" s="1"/>
  <c r="F13" i="7" s="1"/>
  <c r="E12" i="7"/>
  <c r="D10" i="7"/>
  <c r="E6" i="7"/>
  <c r="E10" i="7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F6" i="7"/>
  <c r="D13" i="7" l="1"/>
  <c r="E11" i="7"/>
  <c r="E13" i="7" s="1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<sst xmlns="http://schemas.openxmlformats.org/spreadsheetml/2006/main" count="13138" uniqueCount="5441">
  <si>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</si>
  <si>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</si>
  <si>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</si>
  <si>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</si>
  <si>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</si>
  <si>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</si>
  <si>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</si>
  <si>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</si>
  <si>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</si>
  <si>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</si>
  <si>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</si>
  <si>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</si>
  <si>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</si>
  <si>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</si>
  <si>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</si>
  <si>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</si>
  <si>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</si>
  <si>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</si>
  <si>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</si>
  <si>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</si>
  <si>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</si>
  <si>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</si>
  <si>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</si>
  <si>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</si>
  <si>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</si>
  <si>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</si>
  <si>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</si>
  <si>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</si>
  <si>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</si>
  <si>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</si>
  <si>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</si>
  <si>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</si>
  <si>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</si>
  <si>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</si>
  <si>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</si>
  <si>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</si>
  <si>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</si>
  <si>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</si>
  <si>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</si>
  <si>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</si>
  <si>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</si>
  <si>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</si>
  <si>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</si>
  <si>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</si>
  <si>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</si>
  <si>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</si>
  <si>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</si>
  <si>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</si>
  <si>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</si>
  <si>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</si>
  <si>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</si>
  <si>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</si>
  <si>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</si>
  <si>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</si>
  <si>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</si>
  <si>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</si>
  <si>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</si>
  <si>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</si>
  <si>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</si>
  <si>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</si>
  <si>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</si>
  <si>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</si>
  <si>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</si>
  <si>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</si>
  <si>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</si>
  <si>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</si>
  <si>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</si>
  <si>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</si>
  <si>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</si>
  <si>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</si>
  <si>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</si>
  <si>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</si>
  <si>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</si>
  <si>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</si>
  <si>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</si>
  <si>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</si>
  <si>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</si>
  <si>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</si>
  <si>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</si>
  <si>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</si>
  <si>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</si>
  <si>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</si>
  <si>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</si>
  <si>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</si>
  <si>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</si>
  <si>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</si>
  <si>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</si>
  <si>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</si>
  <si>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</si>
  <si>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</si>
  <si>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</si>
  <si>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</si>
  <si>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</si>
  <si>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</si>
  <si>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</si>
  <si>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</si>
  <si>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</si>
  <si>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</si>
  <si>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</si>
  <si>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</si>
  <si>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</si>
  <si>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</si>
  <si>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</si>
  <si>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</si>
  <si>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</si>
  <si>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</si>
  <si>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</si>
  <si>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</si>
  <si>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</si>
  <si>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</si>
  <si>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</si>
  <si>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</si>
  <si>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</si>
  <si>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</si>
  <si>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</si>
  <si>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</si>
  <si>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</si>
  <si>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</si>
  <si>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</si>
  <si>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</si>
  <si>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</si>
  <si>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</si>
  <si>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</si>
  <si>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</si>
  <si>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</si>
  <si>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</si>
  <si>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</si>
  <si>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</si>
  <si>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</si>
  <si>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</si>
  <si>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</si>
  <si>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</si>
  <si>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</si>
  <si>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</si>
  <si>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</si>
  <si>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</si>
  <si>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</si>
  <si>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</si>
  <si>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</si>
  <si>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</si>
  <si>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</si>
  <si>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</si>
  <si>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</si>
  <si>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</si>
  <si>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</si>
  <si>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</si>
  <si>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</si>
  <si>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</si>
  <si>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</si>
  <si>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</si>
  <si>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</si>
  <si>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</si>
  <si>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</si>
  <si>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</si>
  <si>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</si>
  <si>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</si>
  <si>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</si>
  <si>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</si>
  <si>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</si>
  <si>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</si>
  <si>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</si>
  <si>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</si>
  <si>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</si>
  <si>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</si>
  <si>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</si>
  <si>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</si>
  <si>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</si>
  <si>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</si>
  <si>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</si>
  <si>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</si>
  <si>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</si>
  <si>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</si>
  <si>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</si>
  <si>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</si>
  <si>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</si>
  <si>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</si>
  <si>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</si>
  <si>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</si>
  <si>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</si>
  <si>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</si>
  <si>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</si>
  <si>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</si>
  <si>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</si>
  <si>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</si>
  <si>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</si>
  <si>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</si>
  <si>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</si>
  <si>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</si>
  <si>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</si>
  <si>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</si>
  <si>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</si>
  <si>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</si>
  <si>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</si>
  <si>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</si>
  <si>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</si>
  <si>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</si>
  <si>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</si>
  <si>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</si>
  <si>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</si>
  <si>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</si>
  <si>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</si>
  <si>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</si>
  <si>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</si>
  <si>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</si>
  <si>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</si>
  <si>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</si>
  <si>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</si>
  <si>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</si>
  <si>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</si>
  <si>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</si>
  <si>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</si>
  <si>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</si>
  <si>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</si>
  <si>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</si>
  <si>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</si>
  <si>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</si>
  <si>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</si>
  <si>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</si>
  <si>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</si>
  <si>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</si>
  <si>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</si>
  <si>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</si>
  <si>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</si>
  <si>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</si>
  <si>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</si>
  <si>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</si>
  <si>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</si>
  <si>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</si>
  <si>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</si>
  <si>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</si>
  <si>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</si>
  <si>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</si>
  <si>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</si>
  <si>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</si>
  <si>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</si>
  <si>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</si>
  <si>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</si>
  <si>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</si>
  <si>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</si>
  <si>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</si>
  <si>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</si>
  <si>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</si>
  <si>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</si>
  <si>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</si>
  <si>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</si>
  <si>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</si>
  <si>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</si>
  <si>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</si>
  <si>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</si>
  <si>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</si>
  <si>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</si>
  <si>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</si>
  <si>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</si>
  <si>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</si>
  <si>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</si>
  <si>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</si>
  <si>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</si>
  <si>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</si>
  <si>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</si>
  <si>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</si>
  <si>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</si>
  <si>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</si>
  <si>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</si>
  <si>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</si>
  <si>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</si>
  <si>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</si>
  <si>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</si>
  <si>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</si>
  <si>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</si>
  <si>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</si>
  <si>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</si>
  <si>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</si>
  <si>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</si>
  <si>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</si>
  <si>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</si>
  <si>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</si>
  <si>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</si>
  <si>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</si>
  <si>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</si>
  <si>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</si>
  <si>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</si>
  <si>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</si>
  <si>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</si>
  <si>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</si>
  <si>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</si>
  <si>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</si>
  <si>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</si>
  <si>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</si>
  <si>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</si>
  <si>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</si>
  <si>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</si>
  <si>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</si>
  <si>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</si>
  <si>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</si>
  <si>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</si>
  <si>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</si>
  <si>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</si>
  <si>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</si>
  <si>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</si>
  <si>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</si>
  <si>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</si>
  <si>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</si>
  <si>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</si>
  <si>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</si>
  <si>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</si>
  <si>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</si>
  <si>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</si>
  <si>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</si>
  <si>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</si>
  <si>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</si>
  <si>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</si>
  <si>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</si>
  <si>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</si>
  <si>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</si>
  <si>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</si>
  <si>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</si>
  <si>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</si>
  <si>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</si>
  <si>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</si>
  <si>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</si>
  <si>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</si>
  <si>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</si>
  <si>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</si>
  <si>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</si>
  <si>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</si>
  <si>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</si>
  <si>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</si>
  <si>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</si>
  <si>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</si>
  <si>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</si>
  <si>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</si>
  <si>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</si>
  <si>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</si>
  <si>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</si>
  <si>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</si>
  <si>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</si>
  <si>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</si>
  <si>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</si>
  <si>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</si>
  <si>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</si>
  <si>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</si>
  <si>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</si>
  <si>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</si>
  <si>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</si>
  <si>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</si>
  <si>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</si>
  <si>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</si>
  <si>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</si>
  <si>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</si>
  <si>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</si>
  <si>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</si>
  <si>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</si>
  <si>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</si>
  <si>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</si>
  <si>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</si>
  <si>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</si>
  <si>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</si>
  <si>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</si>
  <si>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</si>
  <si>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</si>
  <si>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</si>
  <si>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</si>
  <si>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</si>
  <si>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</si>
  <si>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</si>
  <si>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</si>
  <si>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</si>
  <si>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</si>
  <si>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</si>
  <si>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</si>
  <si>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</si>
  <si>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</si>
  <si>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</si>
  <si>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</si>
  <si>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</si>
  <si>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</si>
  <si>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</si>
  <si>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</si>
  <si>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</si>
  <si>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</si>
  <si>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</si>
  <si>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</si>
  <si>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</si>
  <si>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</si>
  <si>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</si>
  <si>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</si>
  <si>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</si>
  <si>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</si>
  <si>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</si>
  <si>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</si>
  <si>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</si>
  <si>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</si>
  <si>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</si>
  <si>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</si>
  <si>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</si>
  <si>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</si>
  <si>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</si>
  <si>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</si>
  <si>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</si>
  <si>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</si>
  <si>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</si>
  <si>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</si>
  <si>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</si>
  <si>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</si>
  <si>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</si>
  <si>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</si>
  <si>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</si>
  <si>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</si>
  <si>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</si>
  <si>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</si>
  <si>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</si>
  <si>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</si>
  <si>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</si>
  <si>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</si>
  <si>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</si>
  <si>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</si>
  <si>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</si>
  <si>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</si>
  <si>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</si>
  <si>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</si>
  <si>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</si>
  <si>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</si>
  <si>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</si>
  <si>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</si>
  <si>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</si>
  <si>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</si>
  <si>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</si>
  <si>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</si>
  <si>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</si>
  <si>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</si>
  <si>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</si>
  <si>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</si>
  <si>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</si>
  <si>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</si>
  <si>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</si>
  <si>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</si>
  <si>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</si>
  <si>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</si>
  <si>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</si>
  <si>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</si>
  <si>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</si>
  <si>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</si>
  <si>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</si>
  <si>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</si>
  <si>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</si>
  <si>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</si>
  <si>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</si>
  <si>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</si>
  <si>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</si>
  <si>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</si>
  <si>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</si>
  <si>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</si>
  <si>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</si>
  <si>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</si>
  <si>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</si>
  <si>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</si>
  <si>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</si>
  <si>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</si>
  <si>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</si>
  <si>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</si>
  <si>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</si>
  <si>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</si>
  <si>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</si>
  <si>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</si>
  <si>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</si>
  <si>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</si>
  <si>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</si>
  <si>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</si>
  <si>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</si>
  <si>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</si>
  <si>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</si>
  <si>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</si>
  <si>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</si>
  <si>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</si>
  <si>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</si>
  <si>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</si>
  <si>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</si>
  <si>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</si>
  <si>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</si>
  <si>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</si>
  <si>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</si>
  <si>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</si>
  <si>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</si>
  <si>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</si>
  <si>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</si>
  <si>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</si>
  <si>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</si>
  <si>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</si>
  <si>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</si>
  <si>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</si>
  <si>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</si>
  <si>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</si>
  <si>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</si>
  <si>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</si>
  <si>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</si>
  <si>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</si>
  <si>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</si>
  <si>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</si>
  <si>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</si>
  <si>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</si>
  <si>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</si>
  <si>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</si>
  <si>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</si>
  <si>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</si>
  <si>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</si>
  <si>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</si>
  <si>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</si>
  <si>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</si>
  <si>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</si>
  <si>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</si>
  <si>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</si>
  <si>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</si>
  <si>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</si>
  <si>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</si>
  <si>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</si>
  <si>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</si>
  <si>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</si>
  <si>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</si>
  <si>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</si>
  <si>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</si>
  <si>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</si>
  <si>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</si>
  <si>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</si>
  <si>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</si>
  <si>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</si>
  <si>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</si>
  <si>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</si>
  <si>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</si>
  <si>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</si>
  <si>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</si>
  <si>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</si>
  <si>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</si>
  <si>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</si>
  <si>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</si>
  <si>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</si>
  <si>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</si>
  <si>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</si>
  <si>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</si>
  <si>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</si>
  <si>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</si>
  <si>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</si>
  <si>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</si>
  <si>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</si>
  <si>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</si>
  <si>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</si>
  <si>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</si>
  <si>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</si>
  <si>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</si>
  <si>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</si>
  <si>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</si>
  <si>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</si>
  <si>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</si>
  <si>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</si>
  <si>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</si>
  <si>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</si>
  <si>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</si>
  <si>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</si>
  <si>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</si>
  <si>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</si>
  <si>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</si>
  <si>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</si>
  <si>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</si>
  <si>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</si>
  <si>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</si>
  <si>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</si>
  <si>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</si>
  <si>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</si>
  <si>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</si>
  <si>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</si>
  <si>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</si>
  <si>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</si>
  <si>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</si>
  <si>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</si>
  <si>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</si>
  <si>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</si>
  <si>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</si>
  <si>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</si>
  <si>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</si>
  <si>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</si>
  <si>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</si>
  <si>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</si>
  <si>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</si>
  <si>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</si>
  <si>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</si>
  <si>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</si>
  <si>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</si>
  <si>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</si>
  <si>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</si>
  <si>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</si>
  <si>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</si>
  <si>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</si>
  <si>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</si>
  <si>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</si>
  <si>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</si>
  <si>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</si>
  <si>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</si>
  <si>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</si>
  <si>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</si>
  <si>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</si>
  <si>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</si>
  <si>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</si>
  <si>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</si>
  <si>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</si>
  <si>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</si>
  <si>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</si>
  <si>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</si>
  <si>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</si>
  <si>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</si>
  <si>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</si>
  <si>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</si>
  <si>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</si>
  <si>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</si>
  <si>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</si>
  <si>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</si>
  <si>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</si>
  <si>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</si>
  <si>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</si>
  <si>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</si>
  <si>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</si>
  <si>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</si>
  <si>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</si>
  <si>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</si>
  <si>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</si>
  <si>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</si>
  <si>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</si>
  <si>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</si>
  <si>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</si>
  <si>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</si>
  <si>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</si>
  <si>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</si>
  <si>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</si>
  <si>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</si>
  <si>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</si>
  <si>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</si>
  <si>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</si>
  <si>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</si>
  <si>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</si>
  <si>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</si>
  <si>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</si>
  <si>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</si>
  <si>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</si>
  <si>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</si>
  <si>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</si>
  <si>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</si>
  <si>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</si>
  <si>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</si>
  <si>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</si>
  <si>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</si>
  <si>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</si>
  <si>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</si>
  <si>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</si>
  <si>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</si>
  <si>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</si>
  <si>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</si>
  <si>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</si>
  <si>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</si>
  <si>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</si>
  <si>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</si>
  <si>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</si>
  <si>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</si>
  <si>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</si>
  <si>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</si>
  <si>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</si>
  <si>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</si>
  <si>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</si>
  <si>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</si>
  <si>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</si>
  <si>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</si>
  <si>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</si>
  <si>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</si>
  <si>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</si>
  <si>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</si>
  <si>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</si>
  <si>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</si>
  <si>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</si>
  <si>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</si>
  <si>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</si>
  <si>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</si>
  <si>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</si>
  <si>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</si>
  <si>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</si>
  <si>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</si>
  <si>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</si>
  <si>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</si>
  <si>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</si>
  <si>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</si>
  <si>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</si>
  <si>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</si>
  <si>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</si>
  <si>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</si>
  <si>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</si>
  <si>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</si>
  <si>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</si>
  <si>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</si>
  <si>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</si>
  <si>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</si>
  <si>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</si>
  <si>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</si>
  <si>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</si>
  <si>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</si>
  <si>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</si>
  <si>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</si>
  <si>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</si>
  <si>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</si>
  <si>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</si>
  <si>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</si>
  <si>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</si>
  <si>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</si>
  <si>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</si>
  <si>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</si>
  <si>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</si>
  <si>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</si>
  <si>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</si>
  <si>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</si>
  <si>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</si>
  <si>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</si>
  <si>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</si>
  <si>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</si>
  <si>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</si>
  <si>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</si>
  <si>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</si>
  <si>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</si>
  <si>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</si>
  <si>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</si>
  <si>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</si>
  <si>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</si>
  <si>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</si>
  <si>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</si>
  <si>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</si>
  <si>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</si>
  <si>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</si>
  <si>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</si>
  <si>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</si>
  <si>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</si>
  <si>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</si>
  <si>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</si>
  <si>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</si>
  <si>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</si>
  <si>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</si>
  <si>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</si>
  <si>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</si>
  <si>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</si>
  <si>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</si>
  <si>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</si>
  <si>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</si>
  <si>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</si>
  <si>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</si>
  <si>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</si>
  <si>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</si>
  <si>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</si>
  <si>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</si>
  <si>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</si>
  <si>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</si>
  <si>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</si>
  <si>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</si>
  <si>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</si>
  <si>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</si>
  <si>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</si>
  <si>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</si>
  <si>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</si>
  <si>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</si>
  <si>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</si>
  <si>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</si>
  <si>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</si>
  <si>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</si>
  <si>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</si>
  <si>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</si>
  <si>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</si>
  <si>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</si>
  <si>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</si>
  <si>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</si>
  <si>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</si>
  <si>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</si>
  <si>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</si>
  <si>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</si>
  <si>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</si>
  <si>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</si>
  <si>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</si>
  <si>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</si>
  <si>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</si>
  <si>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</si>
  <si>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</si>
  <si>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</si>
  <si>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</si>
  <si>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</si>
  <si>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</si>
  <si>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</si>
  <si>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</si>
  <si>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</si>
  <si>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</si>
  <si>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</si>
  <si>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</si>
  <si>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</si>
  <si>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</si>
  <si>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</si>
  <si>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</si>
  <si>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</si>
  <si>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</si>
  <si>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</si>
  <si>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</si>
  <si>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</si>
  <si>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</si>
  <si>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</si>
  <si>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</si>
  <si>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</si>
  <si>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</si>
  <si>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</si>
  <si>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</si>
  <si>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</si>
  <si>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</si>
  <si>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</si>
  <si>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</si>
  <si>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</si>
  <si>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</si>
  <si>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</si>
  <si>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</si>
  <si>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</si>
  <si>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</si>
  <si>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</si>
  <si>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</si>
  <si>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</si>
  <si>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</si>
  <si>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</si>
  <si>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</si>
  <si>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</si>
  <si>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</si>
  <si>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</si>
  <si>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</si>
  <si>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</si>
  <si>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</si>
  <si>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</si>
  <si>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</si>
  <si>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</si>
  <si>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</si>
  <si>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</si>
  <si>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</si>
  <si>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</si>
  <si>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</si>
  <si>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</si>
  <si>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</si>
  <si>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</si>
  <si>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</si>
  <si>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</si>
  <si>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</si>
  <si>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</si>
  <si>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</si>
  <si>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</si>
  <si>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</si>
  <si>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</si>
  <si>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</si>
  <si>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</si>
  <si>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</si>
  <si>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</si>
  <si>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</si>
  <si>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</si>
  <si>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</si>
  <si>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</si>
  <si>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</si>
  <si>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</si>
  <si>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</si>
  <si>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</si>
  <si>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</si>
  <si>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</si>
  <si>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</si>
  <si>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</si>
  <si>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</si>
  <si>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</si>
  <si>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</si>
  <si>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</si>
  <si>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</si>
  <si>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</si>
  <si>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</si>
  <si>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</si>
  <si>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</si>
  <si>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</si>
  <si>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</si>
  <si>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</si>
  <si>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</si>
  <si>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</si>
  <si>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</si>
  <si>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</si>
  <si>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</si>
  <si>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</si>
  <si>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</si>
  <si>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</si>
  <si>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</si>
  <si>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</si>
  <si>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</si>
  <si>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</si>
  <si>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</si>
  <si>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</si>
  <si>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</si>
  <si>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</si>
  <si>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</si>
  <si>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</si>
  <si>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</si>
  <si>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</si>
  <si>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</si>
  <si>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</si>
  <si>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</si>
  <si>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</si>
  <si>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</si>
  <si>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</si>
  <si>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</si>
  <si>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</si>
  <si>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</si>
  <si>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</si>
  <si>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</si>
  <si>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</si>
  <si>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</si>
  <si>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</si>
  <si>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</si>
  <si>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</si>
  <si>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</si>
  <si>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</si>
  <si>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</si>
  <si>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</si>
  <si>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</si>
  <si>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</si>
  <si>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</si>
  <si>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</si>
  <si>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</si>
  <si>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</si>
  <si>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</si>
  <si>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</si>
  <si>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</si>
  <si>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</si>
  <si>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</si>
  <si>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</si>
  <si>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</si>
  <si>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</si>
  <si>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</si>
  <si>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</si>
  <si>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</si>
  <si>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</si>
  <si>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</si>
  <si>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</si>
  <si>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</si>
  <si>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</si>
  <si>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</si>
  <si>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</si>
  <si>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</si>
  <si>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</si>
  <si>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</si>
  <si>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</si>
  <si>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</si>
  <si>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</si>
  <si>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</si>
  <si>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</si>
  <si>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</si>
  <si>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</si>
  <si>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</si>
  <si>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</si>
  <si>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</si>
  <si>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</si>
  <si>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</si>
  <si>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</si>
  <si>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</si>
  <si>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</si>
  <si>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</si>
  <si>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</si>
  <si>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</si>
  <si>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</si>
  <si>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</si>
  <si>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</si>
  <si>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</si>
  <si>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</si>
  <si>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</si>
  <si>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</si>
  <si>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</si>
  <si>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</si>
  <si>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</si>
  <si>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</si>
  <si>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</si>
  <si>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</si>
  <si>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</si>
  <si>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</si>
  <si>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</si>
  <si>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</si>
  <si>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</si>
  <si>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</si>
  <si>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</si>
  <si>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</si>
  <si>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</si>
  <si>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</si>
  <si>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</si>
  <si>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</si>
  <si>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</si>
  <si>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</si>
  <si>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</si>
  <si>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</si>
  <si>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</si>
  <si>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</si>
  <si>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</si>
  <si>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</si>
  <si>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</si>
  <si>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</si>
  <si>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</si>
  <si>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</si>
  <si>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</si>
  <si>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</si>
  <si>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</si>
  <si>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</si>
  <si>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</si>
  <si>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</si>
  <si>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</si>
  <si>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</si>
  <si>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</si>
  <si>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</si>
  <si>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</si>
  <si>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</si>
  <si>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</si>
  <si>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</si>
  <si>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</si>
  <si>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</si>
  <si>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</si>
  <si>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</si>
  <si>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</si>
  <si>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</si>
  <si>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</si>
  <si>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</si>
  <si>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</si>
  <si>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</si>
  <si>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</si>
  <si>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</si>
  <si>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</si>
  <si>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</si>
  <si>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</si>
  <si>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</si>
  <si>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</si>
  <si>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</si>
  <si>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</si>
  <si>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</si>
  <si>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</si>
  <si>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</si>
  <si>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</si>
  <si>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</si>
  <si>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</si>
  <si>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</si>
  <si>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</si>
  <si>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</si>
  <si>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</si>
  <si>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</si>
  <si>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</si>
  <si>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</si>
  <si>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</si>
  <si>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</si>
  <si>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</si>
  <si>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</si>
  <si>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</si>
  <si>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</si>
  <si>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</si>
  <si>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</si>
  <si>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</si>
  <si>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</si>
  <si>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</si>
  <si>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</si>
  <si>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</si>
  <si>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</si>
  <si>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</si>
  <si>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</si>
  <si>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</si>
  <si>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</si>
  <si>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</si>
  <si>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</si>
  <si>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</si>
  <si>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</si>
  <si>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</si>
  <si>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</si>
  <si>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</si>
  <si>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</si>
  <si>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</si>
  <si>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</si>
  <si>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</si>
  <si>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</si>
  <si>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</si>
  <si>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</si>
  <si>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</si>
  <si>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</si>
  <si>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</si>
  <si>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</si>
  <si>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</si>
  <si>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</si>
  <si>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</si>
  <si>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</si>
  <si>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</si>
  <si>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</si>
  <si>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</si>
  <si>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</si>
  <si>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</si>
  <si>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</si>
  <si>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</si>
  <si>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</si>
  <si>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</si>
  <si>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</si>
  <si>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</si>
  <si>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</si>
  <si>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</si>
  <si>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</si>
  <si>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</si>
  <si>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</si>
  <si>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</si>
  <si>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</si>
  <si>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</si>
  <si>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</si>
  <si>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</si>
  <si>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</si>
  <si>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</si>
  <si>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</si>
  <si>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</si>
  <si>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</si>
  <si>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</si>
  <si>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</si>
  <si>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</si>
  <si>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</si>
  <si>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</si>
  <si>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</si>
  <si>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</si>
  <si>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</si>
  <si>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</si>
  <si>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</si>
  <si>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</si>
  <si>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</si>
  <si>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</si>
  <si>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</si>
  <si>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</si>
  <si>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</si>
  <si>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</si>
  <si>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</si>
  <si>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</si>
  <si>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</si>
  <si>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</si>
  <si>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</si>
  <si>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</si>
  <si>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</si>
  <si>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</si>
  <si>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</si>
  <si>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</si>
  <si>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</si>
  <si>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</si>
  <si>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</si>
  <si>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</si>
  <si>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</si>
  <si>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</si>
  <si>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</si>
  <si>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</si>
  <si>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</si>
  <si>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</si>
  <si>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</si>
  <si>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</si>
  <si>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</si>
  <si>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</si>
  <si>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</si>
  <si>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</si>
  <si>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</si>
  <si>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</si>
  <si>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</si>
  <si>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</si>
  <si>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</si>
  <si>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</si>
  <si>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</si>
  <si>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</si>
  <si>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</si>
  <si>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</si>
  <si>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</si>
  <si>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</si>
  <si>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</si>
  <si>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</si>
  <si>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</si>
  <si>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</si>
  <si>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</si>
  <si>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</si>
  <si>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</si>
  <si>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</si>
  <si>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</si>
  <si>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</si>
  <si>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</si>
  <si>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</si>
  <si>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</si>
  <si>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</si>
  <si>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</si>
  <si>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</si>
  <si>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</si>
  <si>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</si>
  <si>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</si>
  <si>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</si>
  <si>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</si>
  <si>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</si>
  <si>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</si>
  <si>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</si>
  <si>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</si>
  <si>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</si>
  <si>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</si>
  <si>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</si>
  <si>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</si>
  <si>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</si>
  <si>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</si>
  <si>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</si>
  <si>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</si>
  <si>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</si>
  <si>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</si>
  <si>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</si>
  <si>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</si>
  <si>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</si>
  <si>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</si>
  <si>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</si>
  <si>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</si>
  <si>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</si>
  <si>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</si>
  <si>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</si>
  <si>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</si>
  <si>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</si>
  <si>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</si>
  <si>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</si>
  <si>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</si>
  <si>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</si>
  <si>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</si>
  <si>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</si>
  <si>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</si>
  <si>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</si>
  <si>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</si>
  <si>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</si>
  <si>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</si>
  <si>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</si>
  <si>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</si>
  <si>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</si>
  <si>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</si>
  <si>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</si>
  <si>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</si>
  <si>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</si>
  <si>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</si>
  <si>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</si>
  <si>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</si>
  <si>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</si>
  <si>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</si>
  <si>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</si>
  <si>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</si>
  <si>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</si>
  <si>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</si>
  <si>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</si>
  <si>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</si>
  <si>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</si>
  <si>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</si>
  <si>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</si>
  <si>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</si>
  <si>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</si>
  <si>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</si>
  <si>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</si>
  <si>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</si>
  <si>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</si>
  <si>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</si>
  <si>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</si>
  <si>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</si>
  <si>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</si>
  <si>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</si>
  <si>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</si>
  <si>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</si>
  <si>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</si>
  <si>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</si>
  <si>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</si>
  <si>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</si>
  <si>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</si>
  <si>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</si>
  <si>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</si>
  <si>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</si>
  <si>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</si>
  <si>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</si>
  <si>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</si>
  <si>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</si>
  <si>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</si>
  <si>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</si>
  <si>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</si>
  <si>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</si>
  <si>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</si>
  <si>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</si>
  <si>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</si>
  <si>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</si>
  <si>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</si>
  <si>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</si>
  <si>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</si>
  <si>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</si>
  <si>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</si>
  <si>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</si>
  <si>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</si>
  <si>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</si>
  <si>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</si>
  <si>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</si>
  <si>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</si>
  <si>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</si>
  <si>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</si>
  <si>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</si>
  <si>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</si>
  <si>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</si>
  <si>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</si>
  <si>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</si>
  <si>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</si>
  <si>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</si>
  <si>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</si>
  <si>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</si>
  <si>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</si>
  <si>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</si>
  <si>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</si>
  <si>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</si>
  <si>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</si>
  <si>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</si>
  <si>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</si>
  <si>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</si>
  <si>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</si>
  <si>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</si>
  <si>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</si>
  <si>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</si>
  <si>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</si>
  <si>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</si>
  <si>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</si>
  <si>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</si>
  <si>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</si>
  <si>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</si>
  <si>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</si>
  <si>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</si>
  <si>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</si>
  <si>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</si>
  <si>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</si>
  <si>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</si>
  <si>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</si>
  <si>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</si>
  <si>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</si>
  <si>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</si>
  <si>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</si>
  <si>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</si>
  <si>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</si>
  <si>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</si>
  <si>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</si>
  <si>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</si>
  <si>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</si>
  <si>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</si>
  <si>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</si>
  <si>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</si>
  <si>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</si>
  <si>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</si>
  <si>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</si>
  <si>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</si>
  <si>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</si>
  <si>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</si>
  <si>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</si>
  <si>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</si>
  <si>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</si>
  <si>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</si>
  <si>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</si>
  <si>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</si>
  <si>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</si>
  <si>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</si>
  <si>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</si>
  <si>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</si>
  <si>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</si>
  <si>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</si>
  <si>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</si>
  <si>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</si>
  <si>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</si>
  <si>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</si>
  <si>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</si>
  <si>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</si>
  <si>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</si>
  <si>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</si>
  <si>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</si>
  <si>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</si>
  <si>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</si>
  <si>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</si>
  <si>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</si>
  <si>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</si>
  <si>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</si>
  <si>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</si>
  <si>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</si>
  <si>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</si>
  <si>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</si>
  <si>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</si>
  <si>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</si>
  <si>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</si>
  <si>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</si>
  <si>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</si>
  <si>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</si>
  <si>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</si>
  <si>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</si>
  <si>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</si>
  <si>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</si>
  <si>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</si>
  <si>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</si>
  <si>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</si>
  <si>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</si>
  <si>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</si>
  <si>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</si>
  <si>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</si>
  <si>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</si>
  <si>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</si>
  <si>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</si>
  <si>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</si>
  <si>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</si>
  <si>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</si>
  <si>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</si>
  <si>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</si>
  <si>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</si>
  <si>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</si>
  <si>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</si>
  <si>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</si>
  <si>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</si>
  <si>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</si>
  <si>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</si>
  <si>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</si>
  <si>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</si>
  <si>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</si>
  <si>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</si>
  <si>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</si>
  <si>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</si>
  <si>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</si>
  <si>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</si>
  <si>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</si>
  <si>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</si>
  <si>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</si>
  <si>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</si>
  <si>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</si>
  <si>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</si>
  <si>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</si>
  <si>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</si>
  <si>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</si>
  <si>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</si>
  <si>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</si>
  <si>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</si>
  <si>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</si>
  <si>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</si>
  <si>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</si>
  <si>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</si>
  <si>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</si>
  <si>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</si>
  <si>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</si>
  <si>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</si>
  <si>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</si>
  <si>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</si>
  <si>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</si>
  <si>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</si>
  <si>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</si>
  <si>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</si>
  <si>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</si>
  <si>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</si>
  <si>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</si>
  <si>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</si>
  <si>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</si>
  <si>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</si>
  <si>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</si>
  <si>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</si>
  <si>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</si>
  <si>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</si>
  <si>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</si>
  <si>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</si>
  <si>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</si>
  <si>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</si>
  <si>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</si>
  <si>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</si>
  <si>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</si>
  <si>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</si>
  <si>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</si>
  <si>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</si>
  <si>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</si>
  <si>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</si>
  <si>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</si>
  <si>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</si>
  <si>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</si>
  <si>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</si>
  <si>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</si>
  <si>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</si>
  <si>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</si>
  <si>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</si>
  <si>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</si>
  <si>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</si>
  <si>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</si>
  <si>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</si>
  <si>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</si>
  <si>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</si>
  <si>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</si>
  <si>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</si>
  <si>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</si>
  <si>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</si>
  <si>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</si>
  <si>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</si>
  <si>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</si>
  <si>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</si>
  <si>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</si>
  <si>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</si>
  <si>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</si>
  <si>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</si>
  <si>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</si>
  <si>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</si>
  <si>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</si>
  <si>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</si>
  <si>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</si>
  <si>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</si>
  <si>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</si>
  <si>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</si>
  <si>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</si>
  <si>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</si>
  <si>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</si>
  <si>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</si>
  <si>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</si>
  <si>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</si>
  <si>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</si>
  <si>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</si>
  <si>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</si>
  <si>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</si>
  <si>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</si>
  <si>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</si>
  <si>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</si>
  <si>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</si>
  <si>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</si>
  <si>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</si>
  <si>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</si>
  <si>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</si>
  <si>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</si>
  <si>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</si>
  <si>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</si>
  <si>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</si>
  <si>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</si>
  <si>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</si>
  <si>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</si>
  <si>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</si>
  <si>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</si>
  <si>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</si>
  <si>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</si>
  <si>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</si>
  <si>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</si>
  <si>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</si>
  <si>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</si>
  <si>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</si>
  <si>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</si>
  <si>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</si>
  <si>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</si>
  <si>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</si>
  <si>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</si>
  <si>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</si>
  <si>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</si>
  <si>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</si>
  <si>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</si>
  <si>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</si>
  <si>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</si>
  <si>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</si>
  <si>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</si>
  <si>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</si>
  <si>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</si>
  <si>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</si>
  <si>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</si>
  <si>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</si>
  <si>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</si>
  <si>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</si>
  <si>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</si>
  <si>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</si>
  <si>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</si>
  <si>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</si>
  <si>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</si>
  <si>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</si>
  <si>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</si>
  <si>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</si>
  <si>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</si>
  <si>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</si>
  <si>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</si>
  <si>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</si>
  <si>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</si>
  <si>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</si>
  <si>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</si>
  <si>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</si>
  <si>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</si>
  <si>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</si>
  <si>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</si>
  <si>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</si>
  <si>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</si>
  <si>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</si>
  <si>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</si>
  <si>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</si>
  <si>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</si>
  <si>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</si>
  <si>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</si>
  <si>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</si>
  <si>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</si>
  <si>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</si>
  <si>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</si>
  <si>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</si>
  <si>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</si>
  <si>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</si>
  <si>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</si>
  <si>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</si>
  <si>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</si>
  <si>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</si>
  <si>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</si>
  <si>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</si>
  <si>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</si>
  <si>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</si>
  <si>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</si>
  <si>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</si>
  <si>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</si>
  <si>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</si>
  <si>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</si>
  <si>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</si>
  <si>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</si>
  <si>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</si>
  <si>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</si>
  <si>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</si>
  <si>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</si>
  <si>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</si>
  <si>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</si>
  <si>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</si>
  <si>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</si>
  <si>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</si>
  <si>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</si>
  <si>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</si>
  <si>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</si>
  <si>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</si>
  <si>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</si>
  <si>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</si>
  <si>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</si>
  <si>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</si>
  <si>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</si>
  <si>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</si>
  <si>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</si>
  <si>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</si>
  <si>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</si>
  <si>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</si>
  <si>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</si>
  <si>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</si>
  <si>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</si>
  <si>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</si>
  <si>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</si>
  <si>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</si>
  <si>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</si>
  <si>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</si>
  <si>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</si>
  <si>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</si>
  <si>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</si>
  <si>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</si>
  <si>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</si>
  <si>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</si>
  <si>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</si>
  <si>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</si>
  <si>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</si>
  <si>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</si>
  <si>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</si>
  <si>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</si>
  <si>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</si>
  <si>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</si>
  <si>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</si>
  <si>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</si>
  <si>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</si>
  <si>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</si>
  <si>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</si>
  <si>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</si>
  <si>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</si>
  <si>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</si>
  <si>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</si>
  <si>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</si>
  <si>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</si>
  <si>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</si>
  <si>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</si>
  <si>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</si>
  <si>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</si>
  <si>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</si>
  <si>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</si>
  <si>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</si>
  <si>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</si>
  <si>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</si>
  <si>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</si>
  <si>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</si>
  <si>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</si>
  <si>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</si>
  <si>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</si>
  <si>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</si>
  <si>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</si>
  <si>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</si>
  <si>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</si>
  <si>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</si>
  <si>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</si>
  <si>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</si>
  <si>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</si>
  <si>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</si>
  <si>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</si>
  <si>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</si>
  <si>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</si>
  <si>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</si>
  <si>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</si>
  <si>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</si>
  <si>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</si>
  <si>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</si>
  <si>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</si>
  <si>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</si>
  <si>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</si>
  <si>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</si>
  <si>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</si>
  <si>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</si>
  <si>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</si>
  <si>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</si>
  <si>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</si>
  <si>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</si>
  <si>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</si>
  <si>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</si>
  <si>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</si>
  <si>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</si>
  <si>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</si>
  <si>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</si>
  <si>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</si>
  <si>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</si>
  <si>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</si>
  <si>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</si>
  <si>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</si>
  <si>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</si>
  <si>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</si>
  <si>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</si>
  <si>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</si>
  <si>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</si>
  <si>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</si>
  <si>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</si>
  <si>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</si>
  <si>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</si>
  <si>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</si>
  <si>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</si>
  <si>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</si>
  <si>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</si>
  <si>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</si>
  <si>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</si>
  <si>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</si>
  <si>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</si>
  <si>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</si>
  <si>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</si>
  <si>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</si>
  <si>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</si>
  <si>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</si>
  <si>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</si>
  <si>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</si>
  <si>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</si>
  <si>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</si>
  <si>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</si>
  <si>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</si>
  <si>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</si>
  <si>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</si>
  <si>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</si>
  <si>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</si>
  <si>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</si>
  <si>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</si>
  <si>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</si>
  <si>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</si>
  <si>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</si>
  <si>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</si>
  <si>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</si>
  <si>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</si>
  <si>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</si>
  <si>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</si>
  <si>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</si>
  <si>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</si>
  <si>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</si>
  <si>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</si>
  <si>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</si>
  <si>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</si>
  <si>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</si>
  <si>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</si>
  <si>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</si>
  <si>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</si>
  <si>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</si>
  <si>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</si>
  <si>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</si>
  <si>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</si>
  <si>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</si>
  <si>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</si>
  <si>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</si>
  <si>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</si>
  <si>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</si>
  <si>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</si>
  <si>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</si>
  <si>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</si>
  <si>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</si>
  <si>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</si>
  <si>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</si>
  <si>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</si>
  <si>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</si>
  <si>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</si>
  <si>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</si>
  <si>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</si>
  <si>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</si>
  <si>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</si>
  <si>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</si>
  <si>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</si>
  <si>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</si>
  <si>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</si>
  <si>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</si>
  <si>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</si>
  <si>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</si>
  <si>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</si>
  <si>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</si>
  <si>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</si>
  <si>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</si>
  <si>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</si>
  <si>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</si>
  <si>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</si>
  <si>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</si>
  <si>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</si>
  <si>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</si>
  <si>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</si>
  <si>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</si>
  <si>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</si>
  <si>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</si>
  <si>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</si>
  <si>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</si>
  <si>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</si>
  <si>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</si>
  <si>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</si>
  <si>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</si>
  <si>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</si>
  <si>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</si>
  <si>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</si>
  <si>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</si>
  <si>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</si>
  <si>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</si>
  <si>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</si>
  <si>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</si>
  <si>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</si>
  <si>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</si>
  <si>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</si>
  <si>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</si>
  <si>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</si>
  <si>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</si>
  <si>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</si>
  <si>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</si>
  <si>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</si>
  <si>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</si>
  <si>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</si>
  <si>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</si>
  <si>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</si>
  <si>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</si>
  <si>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</si>
  <si>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</si>
  <si>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</si>
  <si>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</si>
  <si>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</si>
  <si>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</si>
  <si>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</si>
  <si>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</si>
  <si>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</si>
  <si>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</si>
  <si>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</si>
  <si>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</si>
  <si>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</si>
  <si>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</si>
  <si>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</si>
  <si>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</si>
  <si>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</si>
  <si>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</si>
  <si>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</si>
  <si>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</si>
  <si>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</si>
  <si>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</si>
  <si>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</si>
  <si>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</si>
  <si>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</si>
  <si>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</si>
  <si>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</si>
  <si>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</si>
  <si>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</si>
  <si>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</si>
  <si>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</si>
  <si>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</si>
  <si>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</si>
  <si>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</si>
  <si>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</si>
  <si>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</si>
  <si>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</si>
  <si>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</si>
  <si>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</si>
  <si>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</si>
  <si>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</si>
  <si>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</si>
  <si>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</si>
  <si>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</si>
  <si>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</si>
  <si>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</si>
  <si>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</si>
  <si>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</si>
  <si>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</si>
  <si>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</si>
  <si>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</si>
  <si>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</si>
  <si>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</si>
  <si>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</si>
  <si>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</si>
  <si>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</si>
  <si>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</si>
  <si>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</si>
  <si>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</si>
  <si>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</si>
  <si>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</si>
  <si>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</si>
  <si>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</si>
  <si>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</si>
  <si>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</si>
  <si>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</si>
  <si>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</si>
  <si>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</si>
  <si>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</si>
  <si>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</si>
  <si>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</si>
  <si>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</si>
  <si>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</si>
  <si>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</si>
  <si>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</si>
  <si>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</si>
  <si>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</si>
  <si>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</si>
  <si>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</si>
  <si>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</si>
  <si>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</si>
  <si>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</si>
  <si>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</si>
  <si>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</si>
  <si>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</si>
  <si>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</si>
  <si>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</si>
  <si>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</si>
  <si>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</si>
  <si>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</si>
  <si>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</si>
  <si>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</si>
  <si>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</si>
  <si>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</si>
  <si>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</si>
  <si>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</si>
  <si>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</si>
  <si>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</si>
  <si>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</si>
  <si>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</si>
  <si>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</si>
  <si>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</si>
  <si>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</si>
  <si>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</si>
  <si>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</si>
  <si>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</si>
  <si>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</si>
  <si>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</si>
  <si>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</si>
  <si>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</si>
  <si>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</si>
  <si>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</si>
  <si>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</si>
  <si>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</si>
  <si>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</si>
  <si>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</si>
  <si>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</si>
  <si>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</si>
  <si>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</si>
  <si>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</si>
  <si>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</si>
  <si>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</si>
  <si>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</si>
  <si>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</si>
  <si>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</si>
  <si>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</si>
  <si>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</si>
  <si>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</si>
  <si>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</si>
  <si>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</si>
  <si>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</si>
  <si>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</si>
  <si>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</si>
  <si>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</si>
  <si>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</si>
  <si>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</si>
  <si>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</si>
  <si>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</si>
  <si>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</si>
  <si>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</si>
  <si>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</si>
  <si>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</si>
  <si>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</si>
  <si>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</si>
  <si>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</si>
  <si>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</si>
  <si>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</si>
  <si>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</si>
  <si>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</si>
  <si>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</si>
  <si>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</si>
  <si>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</si>
  <si>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</si>
  <si>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</si>
  <si>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</si>
  <si>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</si>
  <si>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</si>
  <si>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</si>
  <si>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</si>
  <si>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</si>
  <si>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</si>
  <si>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</si>
  <si>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</si>
  <si>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</si>
  <si>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</si>
  <si>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</si>
  <si>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</si>
  <si>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</si>
  <si>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</si>
  <si>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</si>
  <si>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</si>
  <si>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</si>
  <si>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</si>
  <si>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</si>
  <si>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</si>
  <si>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</si>
  <si>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</si>
  <si>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</si>
  <si>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</si>
  <si>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</si>
  <si>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</si>
  <si>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</si>
  <si>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</si>
  <si>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</si>
  <si>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</si>
  <si>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</si>
  <si>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</si>
  <si>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</si>
  <si>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</si>
  <si>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</si>
  <si>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</si>
  <si>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</si>
  <si>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</si>
  <si>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</si>
  <si>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</si>
  <si>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</si>
  <si>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</si>
  <si>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</si>
  <si>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</si>
  <si>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</si>
  <si>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</si>
  <si>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</si>
  <si>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</si>
  <si>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</si>
  <si>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</si>
  <si>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</si>
  <si>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</si>
  <si>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</si>
  <si>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</si>
  <si>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</si>
  <si>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</si>
  <si>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</si>
  <si>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</si>
  <si>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</si>
  <si>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</si>
  <si>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</si>
  <si>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</si>
  <si>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</si>
  <si>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</si>
  <si>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</si>
  <si>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</si>
  <si>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</si>
  <si>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</si>
  <si>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</si>
  <si>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</si>
  <si>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</si>
  <si>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</si>
  <si>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</si>
  <si>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</si>
  <si>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</si>
  <si>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</si>
  <si>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</si>
  <si>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</si>
  <si>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</si>
  <si>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</si>
  <si>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</si>
  <si>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</si>
  <si>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</si>
  <si>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</si>
  <si>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</si>
  <si>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</si>
  <si>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</si>
  <si>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</si>
  <si>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</si>
  <si>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</si>
  <si>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</si>
  <si>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</si>
  <si>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</si>
  <si>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</si>
  <si>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</si>
  <si>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</si>
  <si>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</si>
  <si>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</si>
  <si>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</si>
  <si>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</si>
  <si>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</si>
  <si>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</si>
  <si>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</si>
  <si>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</si>
  <si>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</si>
  <si>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</si>
  <si>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</si>
  <si>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</si>
  <si>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</si>
  <si>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</si>
  <si>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</si>
  <si>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</si>
  <si>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</si>
  <si>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</si>
  <si>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</si>
  <si>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</si>
  <si>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</si>
  <si>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</si>
  <si>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</si>
  <si>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</si>
  <si>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</si>
  <si>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</si>
  <si>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</si>
  <si>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</si>
  <si>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</si>
  <si>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</si>
  <si>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</si>
  <si>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</si>
  <si>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</si>
  <si>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</si>
  <si>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</si>
  <si>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</si>
  <si>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</si>
  <si>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</si>
  <si>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</si>
  <si>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</si>
  <si>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</si>
  <si>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</si>
  <si>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</si>
  <si>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</si>
  <si>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</si>
  <si>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</si>
  <si>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</si>
  <si>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</si>
  <si>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</si>
  <si>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</si>
  <si>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</si>
  <si>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</si>
  <si>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</si>
  <si>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</si>
  <si>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</si>
  <si>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</si>
  <si>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</si>
  <si>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</si>
  <si>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</si>
  <si>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</si>
  <si>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</si>
  <si>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</si>
  <si>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</si>
  <si>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</si>
  <si>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</si>
  <si>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</si>
  <si>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</si>
  <si>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</si>
  <si>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</si>
  <si>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</si>
  <si>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</si>
  <si>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</si>
  <si>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</si>
  <si>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</si>
  <si>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</si>
  <si>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</si>
  <si>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</si>
  <si>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</si>
  <si>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</si>
  <si>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</si>
  <si>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</si>
  <si>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</si>
  <si>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</si>
  <si>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</si>
  <si>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</si>
  <si>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</si>
  <si>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</si>
  <si>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</si>
  <si>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</si>
  <si>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</si>
  <si>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</si>
  <si>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</si>
  <si>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</si>
  <si>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</si>
  <si>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</si>
  <si>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</si>
  <si>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</si>
  <si>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</si>
  <si>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</si>
  <si>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</si>
  <si>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</si>
  <si>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</si>
  <si>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</si>
  <si>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</si>
  <si>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</si>
  <si>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</si>
  <si>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</si>
  <si>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</si>
  <si>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</si>
  <si>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</si>
  <si>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</si>
  <si>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</si>
  <si>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</si>
  <si>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</si>
  <si>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</si>
  <si>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</si>
  <si>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</si>
  <si>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</si>
  <si>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</si>
  <si>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</si>
  <si>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</si>
  <si>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</si>
  <si>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</si>
  <si>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</si>
  <si>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</si>
  <si>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</si>
  <si>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</si>
  <si>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</si>
  <si>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</si>
  <si>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</si>
  <si>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</si>
  <si>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</si>
  <si>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</si>
  <si>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</si>
  <si>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</si>
  <si>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</si>
  <si>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</si>
  <si>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</si>
  <si>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</si>
  <si>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</si>
  <si>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</si>
  <si>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</si>
  <si>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</si>
  <si>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</si>
  <si>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</si>
  <si>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</si>
  <si>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</si>
  <si>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</si>
  <si>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</si>
  <si>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</si>
  <si>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</si>
  <si>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</si>
  <si>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</si>
  <si>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</si>
  <si>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</si>
  <si>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</si>
  <si>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</si>
  <si>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</si>
  <si>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</si>
  <si>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</si>
  <si>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</si>
  <si>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</si>
  <si>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</si>
  <si>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</si>
  <si>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</si>
  <si>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</si>
  <si>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</si>
  <si>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</si>
  <si>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</si>
  <si>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</si>
  <si>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</si>
  <si>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</si>
  <si>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</si>
  <si>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</si>
  <si>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</si>
  <si>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</si>
  <si>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</si>
  <si>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</si>
  <si>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</si>
  <si>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</si>
  <si>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</si>
  <si>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</si>
  <si>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</si>
  <si>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</si>
  <si>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</si>
  <si>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</si>
  <si>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</si>
  <si>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</si>
  <si>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</si>
  <si>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</si>
  <si>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</si>
  <si>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</si>
  <si>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</si>
  <si>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</si>
  <si>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</si>
  <si>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</si>
  <si>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</si>
  <si>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</si>
  <si>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</si>
  <si>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</si>
  <si>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</si>
  <si>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</si>
  <si>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</si>
  <si>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</si>
  <si>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</si>
  <si>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</si>
  <si>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</si>
  <si>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</si>
  <si>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</si>
  <si>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</si>
  <si>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</si>
  <si>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</si>
  <si>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</si>
  <si>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</si>
  <si>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</si>
  <si>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</si>
  <si>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</si>
  <si>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</si>
  <si>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</si>
  <si>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</si>
  <si>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</si>
  <si>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</si>
  <si>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</si>
  <si>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</si>
  <si>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</si>
  <si>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</si>
  <si>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</si>
  <si>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</si>
  <si>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</si>
  <si>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</si>
  <si>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</si>
  <si>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</si>
  <si>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</si>
  <si>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</si>
  <si>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</si>
  <si>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</si>
  <si>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</si>
  <si>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</si>
  <si>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</si>
  <si>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</si>
  <si>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</si>
  <si>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</si>
  <si>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</si>
  <si>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</si>
  <si>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</si>
  <si>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</si>
  <si>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</si>
  <si>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</si>
  <si>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</si>
  <si>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</si>
  <si>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</si>
  <si>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</si>
  <si>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</si>
  <si>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</si>
  <si>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</si>
  <si>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</si>
  <si>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</si>
  <si>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</si>
  <si>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</si>
  <si>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</si>
  <si>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</si>
  <si>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</si>
  <si>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</si>
  <si>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</si>
  <si>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</si>
  <si>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</si>
  <si>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</si>
  <si>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</si>
  <si>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</si>
  <si>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</si>
  <si>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</si>
  <si>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</si>
  <si>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</si>
  <si>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</si>
  <si>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</si>
  <si>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</si>
  <si>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</si>
  <si>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</si>
  <si>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</si>
  <si>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</si>
  <si>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</si>
  <si>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</si>
  <si>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</si>
  <si>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</si>
  <si>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</si>
  <si>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</si>
  <si>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</si>
  <si>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</si>
  <si>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</si>
  <si>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</si>
  <si>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</si>
  <si>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</si>
  <si>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</si>
  <si>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</si>
  <si>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</si>
  <si>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</si>
  <si>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</si>
  <si>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</si>
  <si>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</si>
  <si>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</si>
  <si>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</si>
  <si>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</si>
  <si>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</si>
  <si>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</si>
  <si>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</si>
  <si>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</si>
  <si>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</si>
  <si>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</si>
  <si>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</si>
  <si>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</si>
  <si>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</si>
  <si>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</si>
  <si>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</si>
  <si>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</si>
  <si>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</si>
  <si>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</si>
  <si>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</si>
  <si>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</si>
  <si>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</si>
  <si>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</si>
  <si>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</si>
  <si>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</si>
  <si>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</si>
  <si>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</si>
  <si>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</si>
  <si>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</si>
  <si>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</si>
  <si>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</si>
  <si>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</si>
  <si>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</si>
  <si>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</si>
  <si>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</si>
  <si>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</si>
  <si>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</si>
  <si>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</si>
  <si>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</si>
  <si>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</si>
  <si>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</si>
  <si>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</si>
  <si>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</si>
  <si>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</si>
  <si>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</si>
  <si>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</si>
  <si>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</si>
  <si>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</si>
  <si>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</si>
  <si>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</si>
  <si>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</si>
  <si>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</si>
  <si>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</si>
  <si>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</si>
  <si>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</si>
  <si>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</si>
  <si>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</si>
  <si>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</si>
  <si>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</si>
  <si>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</si>
  <si>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</si>
  <si>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</si>
  <si>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</si>
  <si>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</si>
  <si>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</si>
  <si>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</si>
  <si>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</si>
  <si>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</si>
  <si>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</si>
  <si>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</si>
  <si>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</si>
  <si>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</si>
  <si>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</si>
  <si>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</si>
  <si>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</si>
  <si>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</si>
  <si>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</si>
  <si>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</si>
  <si>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</si>
  <si>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</si>
  <si>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</si>
  <si>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</si>
  <si>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</si>
  <si>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</si>
  <si>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</si>
  <si>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</si>
  <si>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</si>
  <si>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</si>
  <si>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</si>
  <si>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</si>
  <si>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</si>
  <si>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</si>
  <si>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</si>
  <si>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</si>
  <si>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</si>
  <si>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</si>
  <si>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</si>
  <si>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</si>
  <si>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</si>
  <si>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</si>
  <si>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</si>
  <si>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</si>
  <si>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</si>
  <si>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</si>
  <si>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</si>
  <si>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</si>
  <si>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</si>
  <si>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</si>
  <si>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</si>
  <si>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</si>
  <si>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</si>
  <si>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</si>
  <si>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</si>
  <si>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</si>
  <si>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</si>
  <si>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</si>
  <si>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</si>
  <si>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</si>
  <si>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</si>
  <si>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</si>
  <si>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</si>
  <si>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</si>
  <si>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</si>
  <si>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</si>
  <si>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</si>
  <si>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</si>
  <si>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</si>
  <si>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</si>
  <si>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</si>
  <si>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</si>
  <si>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</si>
  <si>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</si>
  <si>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</si>
  <si>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</si>
  <si>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</si>
  <si>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</si>
  <si>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</si>
  <si>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</si>
  <si>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</si>
  <si>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</si>
  <si>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</si>
  <si>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</si>
  <si>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</si>
  <si>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</si>
  <si>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</si>
  <si>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</si>
  <si>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</si>
  <si>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</si>
  <si>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</si>
  <si>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</si>
  <si>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</si>
  <si>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</si>
  <si>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</si>
  <si>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</si>
  <si>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</si>
  <si>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</si>
  <si>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</si>
  <si>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</si>
  <si>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</si>
  <si>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</si>
  <si>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</si>
  <si>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</si>
  <si>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</si>
  <si>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</si>
  <si>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</si>
  <si>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</si>
  <si>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</si>
  <si>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</si>
  <si>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</si>
  <si>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</si>
  <si>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</si>
  <si>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</si>
  <si>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</si>
  <si>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</si>
  <si>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</si>
  <si>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</si>
  <si>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</si>
  <si>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</si>
  <si>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</si>
  <si>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</si>
  <si>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</si>
  <si>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</si>
  <si>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</si>
  <si>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</si>
  <si>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</si>
  <si>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</si>
  <si>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</si>
  <si>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</si>
  <si>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</si>
  <si>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</si>
  <si>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</si>
  <si>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</si>
  <si>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</si>
  <si>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</si>
  <si>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</si>
  <si>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</si>
  <si>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</si>
  <si>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</si>
  <si>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</si>
  <si>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</si>
  <si>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</si>
  <si>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</si>
  <si>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</si>
  <si>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</si>
  <si>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</si>
  <si>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</si>
  <si>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</si>
  <si>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</si>
  <si>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</si>
  <si>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</si>
  <si>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</si>
  <si>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</si>
  <si>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</si>
  <si>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</si>
  <si>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</si>
  <si>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</si>
  <si>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</si>
  <si>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</si>
  <si>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</si>
  <si>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</si>
  <si>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</si>
  <si>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</si>
  <si>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</si>
  <si>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</si>
  <si>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</si>
  <si>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</si>
  <si>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</si>
  <si>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</si>
  <si>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</si>
  <si>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</si>
  <si>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</si>
  <si>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</si>
  <si>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</si>
  <si>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</si>
  <si>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</si>
  <si>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</si>
  <si>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</si>
  <si>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</si>
  <si>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</si>
  <si>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</si>
  <si>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</si>
  <si>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</si>
  <si>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</si>
  <si>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</si>
  <si>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</si>
  <si>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</si>
  <si>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</si>
  <si>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</si>
  <si>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</si>
  <si>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</si>
  <si>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</si>
  <si>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</si>
  <si>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</si>
  <si>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</si>
  <si>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</si>
  <si>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</si>
  <si>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</si>
  <si>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</si>
  <si>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</si>
  <si>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</si>
  <si>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</si>
  <si>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</si>
  <si>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</si>
  <si>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</si>
  <si>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</si>
  <si>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</si>
  <si>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</si>
  <si>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</si>
  <si>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</si>
  <si>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</si>
  <si>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</si>
  <si>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</si>
  <si>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</si>
  <si>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</si>
  <si>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</si>
  <si>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</si>
  <si>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</si>
  <si>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</si>
  <si>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</si>
  <si>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</si>
  <si>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</si>
  <si>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</si>
  <si>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</si>
  <si>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</si>
  <si>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</si>
  <si>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</si>
  <si>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</si>
  <si>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</si>
  <si>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</si>
  <si>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</si>
  <si>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</si>
  <si>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</si>
  <si>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</si>
  <si>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</si>
  <si>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</si>
  <si>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</si>
  <si>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</si>
  <si>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</si>
  <si>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</si>
  <si>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</si>
  <si>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</si>
  <si>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</si>
  <si>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</si>
  <si>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</si>
  <si>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</si>
  <si>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</si>
  <si>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</si>
  <si>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</si>
  <si>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</si>
  <si>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</si>
  <si>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</si>
  <si>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</si>
  <si>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</si>
  <si>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</si>
  <si>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</si>
  <si>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</si>
  <si>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</si>
  <si>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</si>
  <si>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</si>
  <si>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</si>
  <si>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</si>
  <si>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</si>
  <si>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</si>
  <si>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</si>
  <si>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</si>
  <si>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</si>
  <si>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</si>
  <si>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</si>
  <si>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</si>
  <si>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</si>
  <si>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</si>
  <si>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</si>
  <si>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</si>
  <si>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</si>
  <si>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</si>
  <si>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</si>
  <si>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</si>
  <si>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</si>
  <si>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</si>
  <si>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</si>
  <si>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</si>
  <si>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</si>
  <si>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</si>
  <si>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</si>
  <si>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</si>
  <si>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</si>
  <si>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</si>
  <si>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</si>
  <si>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</si>
  <si>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</si>
  <si>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</si>
  <si>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</si>
  <si>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</si>
  <si>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</si>
  <si>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</si>
  <si>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</si>
  <si>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</si>
  <si>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</si>
  <si>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</si>
  <si>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</si>
  <si>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</si>
  <si>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</si>
  <si>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</si>
  <si>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</si>
  <si>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</si>
  <si>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</si>
  <si>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</si>
  <si>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</si>
  <si>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</si>
  <si>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</si>
  <si>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</si>
  <si>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</si>
  <si>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</si>
  <si>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</si>
  <si>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</si>
  <si>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</si>
  <si>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</si>
  <si>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</si>
  <si>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</si>
  <si>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</si>
  <si>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</si>
  <si>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</si>
  <si>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</si>
  <si>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</si>
  <si>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</si>
  <si>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</si>
  <si>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</si>
  <si>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</si>
  <si>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</si>
  <si>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</si>
  <si>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</si>
  <si>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</si>
  <si>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</si>
  <si>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</si>
  <si>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</si>
  <si>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</si>
  <si>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</si>
  <si>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</si>
  <si>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</si>
  <si>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</si>
  <si>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</si>
  <si>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</si>
  <si>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</si>
  <si>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</si>
  <si>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</si>
  <si>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</si>
  <si>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</si>
  <si>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</si>
  <si>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</si>
  <si>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</si>
  <si>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</si>
  <si>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</si>
  <si>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</si>
  <si>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</si>
  <si>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</si>
  <si>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</si>
  <si>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</si>
  <si>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</si>
  <si>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</si>
  <si>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</si>
  <si>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</si>
  <si>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</si>
  <si>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</si>
  <si>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</si>
  <si>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</si>
  <si>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</si>
  <si>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</si>
  <si>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</si>
  <si>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</si>
  <si>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</si>
  <si>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</si>
  <si>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</si>
  <si>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</si>
  <si>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</si>
  <si>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</si>
  <si>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</si>
  <si>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</si>
  <si>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</si>
  <si>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</si>
  <si>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</si>
  <si>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</si>
  <si>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</si>
  <si>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</si>
  <si>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</si>
  <si>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</si>
  <si>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</si>
  <si>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</si>
  <si>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</si>
  <si>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</si>
  <si>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</si>
  <si>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</si>
  <si>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</si>
  <si>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</si>
  <si>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</si>
  <si>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</si>
  <si>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</si>
  <si>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</si>
  <si>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</si>
  <si>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</si>
  <si>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</si>
  <si>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</si>
  <si>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</si>
  <si>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</si>
  <si>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</si>
  <si>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</si>
  <si>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</si>
  <si>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</si>
  <si>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</si>
  <si>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</si>
  <si>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</si>
  <si>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</si>
  <si>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</si>
  <si>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</si>
  <si>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</si>
  <si>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</si>
  <si>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</si>
  <si>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</si>
  <si>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</si>
  <si>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</si>
  <si>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</si>
  <si>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</si>
  <si>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</si>
  <si>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</si>
  <si>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</si>
  <si>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</si>
  <si>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</si>
  <si>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</si>
  <si>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</si>
  <si>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</si>
  <si>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</si>
  <si>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</si>
  <si>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</si>
  <si>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</si>
  <si>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</si>
  <si>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</si>
  <si>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</si>
  <si>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</si>
  <si>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</si>
  <si>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</si>
  <si>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</si>
  <si>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</si>
  <si>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</si>
  <si>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</si>
  <si>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</si>
  <si>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</si>
  <si>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</si>
  <si>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</si>
  <si>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</si>
  <si>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</si>
  <si>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</si>
  <si>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</si>
  <si>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</si>
  <si>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</si>
  <si>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</si>
  <si>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</si>
  <si>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</si>
  <si>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</si>
  <si>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</si>
  <si>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</si>
  <si>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</si>
  <si>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</si>
  <si>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</si>
  <si>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</si>
  <si>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</si>
  <si>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</si>
  <si>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</si>
  <si>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</si>
  <si>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</si>
  <si>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</si>
  <si>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</si>
  <si>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</si>
  <si>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</si>
  <si>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</si>
  <si>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</si>
  <si>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</si>
  <si>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</si>
  <si>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</si>
  <si>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</si>
  <si>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</si>
  <si>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</si>
  <si>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</si>
  <si>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</si>
  <si>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</si>
  <si>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</si>
  <si>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</si>
  <si>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</si>
  <si>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</si>
  <si>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</si>
  <si>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</si>
  <si>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</si>
  <si>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</si>
  <si>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</si>
  <si>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</si>
  <si>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</si>
  <si>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</si>
  <si>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</si>
  <si>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</si>
  <si>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</si>
  <si>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</si>
  <si>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</si>
  <si>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</si>
  <si>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</si>
  <si>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</si>
  <si>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</si>
  <si>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</si>
  <si>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</si>
  <si>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</si>
  <si>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</si>
  <si>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</si>
  <si>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</si>
  <si>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</si>
  <si>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</si>
  <si>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</si>
  <si>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</si>
  <si>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</si>
  <si>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</si>
  <si>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</si>
  <si>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</si>
  <si>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</si>
  <si>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</si>
  <si>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</si>
  <si>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</si>
  <si>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</si>
  <si>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</si>
  <si>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</si>
  <si>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</si>
  <si>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</si>
  <si>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</si>
  <si>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</si>
  <si>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</si>
  <si>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</si>
  <si>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</si>
  <si>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</si>
  <si>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</si>
  <si>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</si>
  <si>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</si>
  <si>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</si>
  <si>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</si>
  <si>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</si>
  <si>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</si>
  <si>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</si>
  <si>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</si>
  <si>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</si>
  <si>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</si>
  <si>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</si>
  <si>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</si>
  <si>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</si>
  <si>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</si>
  <si>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</si>
  <si>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</si>
  <si>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</si>
  <si>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</si>
  <si>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</si>
  <si>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</si>
  <si>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</si>
  <si>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</si>
  <si>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</si>
  <si>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</si>
  <si>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</si>
  <si>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</si>
  <si>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</si>
  <si>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</si>
  <si>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</si>
  <si>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</si>
  <si>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</si>
  <si>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</si>
  <si>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</si>
  <si>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</si>
  <si>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</si>
  <si>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</si>
  <si>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</si>
  <si>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</si>
  <si>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</si>
  <si>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</si>
  <si>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</si>
  <si>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</si>
  <si>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</si>
  <si>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</si>
  <si>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</si>
  <si>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</si>
  <si>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</si>
  <si>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</si>
  <si>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</si>
  <si>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</si>
  <si>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</si>
  <si>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</si>
  <si>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</si>
  <si>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</si>
  <si>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</si>
  <si>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</si>
  <si>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</si>
  <si>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</si>
  <si>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</si>
  <si>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</si>
  <si>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</si>
  <si>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</si>
  <si>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</si>
  <si>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</si>
  <si>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</si>
  <si>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</si>
  <si>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</si>
  <si>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</si>
  <si>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</si>
  <si>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</si>
  <si>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</si>
  <si>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</si>
  <si>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</si>
  <si>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</si>
  <si>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</si>
  <si>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</si>
  <si>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</si>
  <si>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</si>
  <si>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</si>
  <si>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</si>
  <si>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</si>
  <si>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</si>
  <si>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</si>
  <si>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</si>
  <si>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</si>
  <si>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</si>
  <si>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</si>
  <si>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</si>
  <si>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</si>
  <si>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</si>
  <si>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</si>
  <si>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</si>
  <si>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</si>
  <si>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</si>
  <si>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</si>
  <si>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</si>
  <si>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</si>
  <si>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</si>
  <si>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</si>
  <si>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</si>
  <si>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</si>
  <si>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</si>
  <si>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</si>
  <si>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</si>
  <si>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</si>
  <si>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</si>
  <si>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</si>
  <si>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</si>
  <si>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</si>
  <si>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</si>
  <si>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</si>
  <si>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</si>
  <si>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</si>
  <si>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</si>
  <si>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</si>
  <si>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</si>
  <si>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</si>
  <si>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</si>
  <si>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</si>
  <si>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</si>
  <si>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</si>
  <si>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</si>
  <si>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</si>
  <si>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</si>
  <si>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</si>
  <si>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</si>
  <si>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</si>
  <si>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</si>
  <si>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</si>
  <si>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</si>
  <si>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</si>
  <si>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</si>
  <si>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</si>
  <si>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</si>
  <si>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</si>
  <si>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</si>
  <si>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</si>
  <si>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</si>
  <si>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</si>
  <si>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</si>
  <si>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</si>
  <si>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</si>
  <si>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</si>
  <si>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</si>
  <si>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</si>
  <si>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</si>
  <si>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</si>
  <si>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</si>
  <si>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</si>
  <si>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</si>
  <si>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</si>
  <si>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</si>
  <si>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</si>
  <si>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</si>
  <si>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</si>
  <si>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</si>
  <si>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</si>
  <si>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</si>
  <si>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</si>
  <si>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</si>
  <si>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</si>
  <si>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</si>
  <si>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</si>
  <si>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</si>
  <si>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</si>
  <si>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</si>
  <si>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</si>
  <si>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</si>
  <si>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</si>
  <si>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</si>
  <si>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</si>
  <si>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</si>
  <si>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</si>
  <si>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</si>
  <si>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</si>
  <si>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</si>
  <si>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</si>
  <si>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</si>
  <si>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</si>
  <si>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</si>
  <si>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</si>
  <si>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</si>
  <si>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</si>
  <si>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</si>
  <si>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</si>
  <si>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</si>
  <si>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</si>
  <si>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</si>
  <si>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</si>
  <si>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</si>
  <si>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</si>
  <si>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</si>
  <si>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</si>
  <si>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</si>
  <si>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</si>
  <si>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</si>
  <si>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</si>
  <si>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</si>
  <si>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</si>
  <si>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</si>
  <si>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</si>
  <si>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</si>
  <si>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</si>
  <si>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</si>
  <si>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</si>
  <si>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</si>
  <si>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</si>
  <si>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</si>
  <si>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</si>
  <si>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</si>
  <si>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</si>
  <si>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</si>
  <si>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</si>
  <si>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</si>
  <si>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</si>
  <si>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</si>
  <si>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</si>
  <si>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</si>
  <si>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</si>
  <si>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</si>
  <si>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</si>
  <si>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</si>
  <si>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</si>
  <si>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</si>
  <si>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</si>
  <si>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</si>
  <si>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</si>
  <si>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</si>
  <si>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</si>
  <si>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</si>
  <si>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</si>
  <si>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</si>
  <si>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</si>
  <si>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</si>
  <si>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</si>
  <si>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</si>
  <si>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</si>
  <si>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</si>
  <si>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</si>
  <si>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</si>
  <si>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</si>
  <si>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</si>
  <si>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</si>
  <si>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</si>
  <si>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</si>
  <si>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</si>
  <si>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</si>
  <si>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</si>
  <si>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</si>
  <si>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</si>
  <si>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</si>
  <si>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</si>
  <si>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</si>
  <si>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</si>
  <si>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</si>
  <si>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</si>
  <si>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</si>
  <si>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</si>
  <si>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</si>
  <si>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</si>
  <si>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</si>
  <si>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</si>
  <si>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</si>
  <si>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</si>
  <si>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</si>
  <si>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</si>
  <si>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</si>
  <si>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</si>
  <si>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</si>
  <si>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</si>
  <si>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</si>
  <si>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</si>
  <si>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</si>
  <si>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</si>
  <si>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</si>
  <si>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</si>
  <si>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</si>
  <si>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</si>
  <si>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</si>
  <si>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</si>
  <si>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</si>
  <si>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</si>
  <si>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</si>
  <si>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</si>
  <si>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</si>
  <si>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</si>
  <si>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</si>
  <si>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</si>
  <si>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</si>
  <si>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</si>
  <si>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</si>
  <si>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</si>
  <si>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</si>
  <si>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</si>
  <si>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</si>
  <si>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</si>
  <si>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</si>
  <si>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</si>
  <si>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</si>
  <si>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</si>
  <si>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</si>
  <si>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</si>
  <si>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</si>
  <si>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</si>
  <si>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</si>
  <si>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</si>
  <si>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</si>
  <si>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</si>
  <si>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</si>
  <si>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</si>
  <si>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</si>
  <si>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</si>
  <si>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</si>
  <si>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</si>
  <si>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</si>
  <si>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</si>
  <si>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</si>
  <si>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</si>
  <si>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</si>
  <si>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</si>
  <si>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</si>
  <si>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</si>
  <si>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</si>
  <si>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</si>
  <si>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</si>
  <si>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</si>
  <si>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</si>
  <si>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</si>
  <si>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</si>
  <si>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</si>
  <si>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</si>
  <si>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</si>
  <si>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</si>
  <si>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</si>
  <si>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</si>
  <si>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</si>
  <si>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</si>
  <si>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</si>
  <si>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</si>
  <si>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</si>
  <si>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</si>
  <si>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</si>
  <si>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</si>
  <si>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</si>
  <si>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</si>
  <si>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</si>
  <si>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</si>
  <si>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</si>
  <si>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</si>
  <si>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</si>
  <si>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</si>
  <si>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</si>
  <si>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</si>
  <si>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</si>
  <si>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</si>
  <si>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</si>
  <si>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</si>
  <si>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</si>
  <si>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</si>
  <si>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</si>
  <si>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</si>
  <si>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</si>
  <si>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</si>
  <si>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</si>
  <si>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</si>
  <si>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</si>
  <si>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</si>
  <si>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</si>
  <si>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</si>
  <si>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</si>
  <si>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</si>
  <si>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</si>
  <si>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</si>
  <si>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</si>
  <si>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</si>
  <si>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</si>
  <si>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</si>
  <si>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</si>
  <si>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</si>
  <si>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</si>
  <si>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</si>
  <si>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</si>
  <si>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</si>
  <si>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</si>
  <si>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</si>
  <si>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</si>
  <si>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</si>
  <si>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</si>
  <si>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</si>
  <si>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</si>
  <si>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</si>
  <si>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</si>
  <si>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</si>
  <si>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</si>
  <si>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</si>
  <si>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</si>
  <si>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</si>
  <si>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</si>
  <si>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</si>
  <si>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</si>
  <si>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</si>
  <si>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</si>
  <si>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</si>
  <si>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</si>
  <si>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</si>
  <si>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</si>
  <si>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</si>
  <si>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</si>
  <si>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</si>
  <si>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</si>
  <si>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</si>
  <si>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</si>
  <si>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</si>
  <si>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</si>
  <si>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</si>
  <si>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</si>
  <si>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</si>
  <si>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</si>
  <si>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</si>
  <si>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</si>
  <si>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</si>
  <si>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</si>
  <si>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</si>
  <si>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</si>
  <si>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</si>
  <si>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</si>
  <si>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</si>
  <si>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</si>
  <si>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</si>
  <si>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</si>
  <si>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</si>
  <si>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</si>
  <si>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</si>
  <si>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</si>
  <si>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</si>
  <si>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</si>
  <si>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</si>
  <si>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</si>
  <si>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</si>
  <si>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</si>
  <si>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</si>
  <si>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</si>
  <si>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</si>
  <si>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</si>
  <si>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</si>
  <si>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</si>
  <si>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</si>
  <si>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</si>
  <si>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</si>
  <si>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</si>
  <si>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</si>
  <si>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</si>
  <si>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</si>
  <si>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</si>
  <si>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</si>
  <si>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</si>
  <si>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</si>
  <si>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</si>
  <si>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</si>
  <si>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</si>
  <si>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</si>
  <si>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</si>
  <si>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</si>
  <si>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</si>
  <si>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</si>
  <si>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</si>
  <si>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</si>
  <si>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</si>
  <si>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</si>
  <si>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</si>
  <si>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</si>
  <si>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</si>
  <si>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</si>
  <si>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</si>
  <si>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</si>
  <si>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</si>
  <si>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</si>
  <si>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</si>
  <si>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</si>
  <si>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</si>
  <si>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</si>
  <si>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</si>
  <si>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</si>
  <si>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</si>
  <si>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</si>
  <si>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</si>
  <si>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</si>
  <si>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</si>
  <si>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</si>
  <si>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</si>
  <si>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</si>
  <si>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</si>
  <si>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</si>
  <si>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</si>
  <si>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</si>
  <si>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</si>
  <si>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</si>
  <si>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</si>
  <si>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</si>
  <si>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</si>
  <si>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</si>
  <si>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</si>
  <si>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</si>
  <si>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</si>
  <si>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</si>
  <si>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</si>
  <si>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</si>
  <si>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</si>
  <si>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</si>
  <si>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</si>
  <si>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</si>
  <si>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</si>
  <si>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</si>
  <si>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</si>
  <si>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</si>
  <si>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</si>
  <si>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</si>
  <si>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</si>
  <si>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</si>
  <si>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</si>
  <si>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</si>
  <si>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</si>
  <si>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</si>
  <si>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</si>
  <si>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</si>
  <si>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</si>
  <si>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</si>
  <si>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</si>
  <si>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</si>
  <si>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</si>
  <si>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</si>
  <si>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</si>
  <si>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</si>
  <si>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</si>
  <si>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</si>
  <si>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</si>
  <si>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</si>
  <si>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</si>
  <si>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</si>
  <si>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</si>
  <si>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</si>
  <si>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</si>
  <si>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</si>
  <si>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</si>
  <si>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</si>
  <si>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</si>
  <si>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</si>
  <si>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</si>
  <si>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</si>
  <si>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</si>
  <si>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</si>
  <si>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</si>
  <si>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</si>
  <si>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</si>
  <si>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</si>
  <si>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</si>
  <si>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</si>
  <si>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</si>
  <si>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</si>
  <si>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</si>
  <si>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</si>
  <si>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</si>
  <si>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</si>
  <si>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</si>
  <si>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</si>
  <si>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</si>
  <si>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</si>
  <si>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</si>
  <si>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</si>
  <si>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</si>
  <si>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</si>
  <si>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</si>
  <si>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</si>
  <si>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</si>
  <si>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</si>
  <si>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</si>
  <si>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</si>
  <si>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</si>
  <si>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</si>
  <si>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</si>
  <si>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</si>
  <si>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</si>
  <si>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</si>
  <si>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</si>
  <si>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</si>
  <si>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</si>
  <si>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</si>
  <si>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</si>
  <si>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</si>
  <si>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</si>
  <si>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</si>
  <si>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</si>
  <si>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</si>
  <si>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</si>
  <si>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</si>
  <si>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</si>
  <si>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</si>
  <si>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</si>
  <si>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</si>
  <si>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</si>
  <si>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</si>
  <si>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</si>
  <si>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</si>
  <si>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</si>
  <si>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</si>
  <si>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</si>
  <si>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</si>
  <si>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</si>
  <si>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</si>
  <si>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</si>
  <si>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</si>
  <si>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</si>
  <si>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</si>
  <si>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</si>
  <si>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</si>
  <si>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</si>
  <si>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</si>
  <si>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</si>
  <si>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</si>
  <si>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</si>
  <si>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</si>
  <si>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</si>
  <si>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</si>
  <si>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</si>
  <si>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</si>
  <si>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</si>
  <si>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</si>
  <si>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</si>
  <si>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</si>
  <si>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</si>
  <si>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</si>
  <si>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</si>
  <si>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</si>
  <si>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</si>
  <si>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</si>
  <si>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</si>
  <si>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</si>
  <si>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</si>
  <si>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</si>
  <si>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</si>
  <si>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</si>
  <si>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</si>
  <si>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</si>
  <si>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</si>
  <si>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</si>
  <si>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</si>
  <si>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</si>
  <si>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</si>
  <si>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</si>
  <si>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</si>
  <si>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</si>
  <si>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</si>
  <si>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</si>
  <si>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</si>
  <si>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</si>
  <si>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</si>
  <si>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</si>
  <si>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</si>
  <si>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</si>
  <si>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</si>
  <si>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</si>
  <si>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</si>
  <si>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</si>
  <si>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</si>
  <si>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</si>
  <si>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</si>
  <si>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</si>
  <si>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</si>
  <si>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</si>
  <si>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</si>
  <si>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</si>
  <si>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</si>
  <si>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</si>
  <si>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</si>
  <si>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</si>
  <si>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</si>
  <si>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</si>
  <si>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</si>
  <si>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</si>
  <si>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</si>
  <si>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</si>
  <si>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</si>
  <si>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</si>
  <si>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</si>
  <si>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</si>
  <si>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</si>
  <si>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</si>
  <si>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</si>
  <si>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</si>
  <si>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</si>
  <si>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</si>
  <si>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</si>
  <si>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</si>
  <si>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</si>
  <si>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</si>
  <si>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</si>
  <si>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</si>
  <si>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</si>
  <si>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</si>
  <si>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</si>
  <si>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</si>
  <si>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</si>
  <si>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</si>
  <si>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</si>
  <si>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</si>
  <si>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</si>
  <si>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</si>
  <si>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</si>
  <si>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</si>
  <si>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</si>
  <si>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</si>
  <si>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</si>
  <si>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</si>
  <si>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</si>
  <si>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</si>
  <si>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</si>
  <si>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</si>
  <si>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</si>
  <si>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</si>
  <si>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</si>
  <si>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</si>
  <si>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</si>
  <si>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</si>
  <si>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</si>
  <si>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</si>
  <si>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</si>
  <si>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</si>
  <si>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</si>
  <si>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</si>
  <si>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</si>
  <si>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</si>
  <si>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</si>
  <si>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</si>
  <si>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</si>
  <si>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</si>
  <si>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</si>
  <si>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</si>
  <si>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</si>
  <si>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</si>
  <si>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</si>
  <si>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</si>
  <si>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</si>
  <si>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</si>
  <si>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</si>
  <si>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</si>
  <si>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</si>
  <si>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</si>
  <si>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</si>
  <si>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</si>
  <si>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</si>
  <si>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</si>
  <si>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</si>
  <si>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</si>
  <si>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</si>
  <si>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</si>
  <si>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</si>
  <si>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</si>
  <si>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</si>
  <si>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</si>
  <si>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</si>
  <si>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</si>
  <si>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</si>
  <si>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</si>
  <si>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</si>
  <si>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</si>
  <si>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</si>
  <si>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</si>
  <si>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</si>
  <si>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</si>
  <si>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</si>
  <si>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</si>
  <si>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</si>
  <si>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</si>
  <si>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</si>
  <si>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</si>
  <si>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</si>
  <si>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</si>
  <si>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</si>
  <si>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</si>
  <si>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</si>
  <si>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</si>
  <si>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</si>
  <si>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</si>
  <si>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</si>
  <si>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</si>
  <si>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</si>
  <si>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</si>
  <si>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</si>
  <si>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</si>
  <si>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</si>
  <si>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</si>
  <si>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</si>
  <si>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</si>
  <si>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</si>
  <si>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</si>
  <si>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</si>
  <si>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</si>
  <si>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</si>
  <si>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</si>
  <si>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</si>
  <si>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</si>
  <si>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</si>
  <si>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</si>
  <si>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</si>
  <si>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</si>
  <si>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</si>
  <si>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</si>
  <si>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</si>
  <si>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</si>
  <si>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</si>
  <si>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</si>
  <si>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</si>
  <si>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</si>
  <si>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</si>
  <si>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</si>
  <si>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</si>
  <si>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</si>
  <si>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</si>
  <si>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</si>
  <si>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</si>
  <si>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</si>
  <si>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</si>
  <si>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</si>
  <si>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</si>
  <si>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</si>
  <si>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</si>
  <si>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</si>
  <si>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</si>
  <si>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</si>
  <si>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</si>
  <si>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</si>
  <si>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</si>
  <si>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</si>
  <si>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</si>
  <si>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</si>
  <si>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</si>
  <si>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</si>
  <si>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</si>
  <si>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</si>
  <si>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</si>
  <si>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</si>
  <si>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</si>
  <si>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</si>
  <si>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</si>
  <si>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</si>
  <si>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</si>
  <si>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</si>
  <si>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</si>
  <si>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</si>
  <si>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</si>
  <si>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</si>
  <si>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</si>
  <si>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</si>
  <si>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</si>
  <si>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</si>
  <si>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</si>
  <si>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</si>
  <si>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</si>
  <si>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</si>
  <si>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</si>
  <si>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</si>
  <si>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</si>
  <si>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</si>
  <si>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</si>
  <si>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</si>
  <si>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</si>
  <si>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</si>
  <si>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</si>
  <si>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</si>
  <si>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</si>
  <si>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</si>
  <si>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</si>
  <si>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</si>
  <si>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</si>
  <si>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</si>
  <si>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</si>
  <si>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</si>
  <si>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</si>
  <si>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</si>
  <si>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</si>
  <si>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</si>
  <si>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</si>
  <si>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</si>
  <si>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</si>
  <si>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</si>
  <si>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</si>
  <si>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</si>
  <si>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</si>
  <si>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</si>
  <si>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</si>
  <si>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</si>
  <si>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</si>
  <si>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</si>
  <si>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</si>
  <si>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</si>
  <si>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</si>
  <si>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</si>
  <si>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</si>
  <si>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</si>
  <si>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</si>
  <si>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</si>
  <si>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</si>
  <si>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</si>
  <si>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</si>
  <si>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</si>
  <si>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</si>
  <si>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</si>
  <si>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</si>
  <si>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</si>
  <si>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</si>
  <si>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</si>
  <si>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</si>
  <si>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</si>
  <si>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</si>
  <si>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</si>
  <si>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</si>
  <si>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</si>
  <si>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</si>
  <si>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</si>
  <si>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</si>
  <si>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</si>
  <si>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</si>
  <si>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</si>
  <si>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</si>
  <si>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</si>
  <si>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</si>
  <si>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</si>
  <si>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</si>
  <si>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</si>
  <si>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</si>
  <si>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</si>
  <si>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</si>
  <si>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</si>
  <si>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</si>
  <si>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</si>
  <si>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</si>
  <si>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</si>
  <si>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</si>
  <si>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</si>
  <si>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</si>
  <si>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</si>
  <si>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</si>
  <si>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</si>
  <si>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</si>
  <si>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</si>
  <si>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</si>
  <si>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</si>
  <si>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</si>
  <si>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</si>
  <si>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</si>
  <si>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</si>
  <si>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</si>
  <si>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</si>
  <si>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</si>
  <si>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</si>
  <si>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</si>
  <si>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</si>
  <si>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</si>
  <si>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</si>
  <si>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</si>
  <si>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</si>
  <si>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</si>
  <si>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</si>
  <si>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</si>
  <si>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</si>
  <si>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</si>
  <si>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</si>
  <si>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</si>
  <si>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</si>
  <si>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</si>
  <si>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</si>
  <si>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</si>
  <si>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</si>
  <si>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</si>
  <si>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</si>
  <si>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</si>
  <si>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</si>
  <si>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</si>
  <si>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</si>
  <si>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</si>
  <si>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</si>
  <si>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</si>
  <si>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</si>
  <si>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</si>
  <si>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</si>
  <si>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</si>
  <si>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</si>
  <si>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</si>
  <si>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</si>
  <si>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</si>
  <si>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</si>
  <si>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</si>
  <si>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</si>
  <si>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</si>
  <si>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</si>
  <si>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</si>
  <si>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</si>
  <si>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</si>
  <si>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</si>
  <si>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</si>
  <si>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</si>
  <si>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</si>
  <si>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</si>
  <si>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</si>
  <si>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</si>
  <si>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</si>
  <si>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</si>
  <si>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</si>
  <si>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</si>
  <si>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</si>
  <si>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</si>
  <si>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</si>
  <si>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</si>
  <si>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</si>
  <si>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</si>
  <si>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</si>
  <si>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</si>
  <si>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</si>
  <si>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</si>
  <si>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</si>
  <si>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</si>
  <si>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</si>
  <si>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</si>
  <si>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</si>
  <si>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</si>
  <si>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</si>
  <si>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</si>
  <si>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</si>
  <si>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</si>
  <si>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</si>
  <si>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</si>
  <si>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</si>
  <si>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</si>
  <si>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</si>
  <si>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</si>
  <si>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</si>
  <si>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</si>
  <si>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</si>
  <si>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</si>
  <si>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</si>
  <si>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</si>
  <si>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</si>
  <si>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</si>
  <si>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</si>
  <si>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</si>
  <si>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</si>
  <si>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</si>
  <si>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</si>
  <si>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</si>
  <si>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</si>
  <si>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</si>
  <si>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</si>
  <si>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</si>
  <si>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</si>
  <si>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</si>
  <si>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</si>
  <si>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</si>
  <si>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</si>
  <si>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</si>
  <si>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</si>
  <si>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</si>
  <si>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</si>
  <si>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</si>
  <si>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</si>
  <si>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</si>
  <si>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</si>
  <si>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</si>
  <si>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</si>
  <si>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</si>
  <si>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</si>
  <si>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</si>
  <si>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</si>
  <si>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</si>
  <si>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</si>
  <si>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</si>
  <si>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</si>
  <si>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</si>
  <si>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</si>
  <si>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</si>
  <si>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</si>
  <si>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</si>
  <si>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</si>
  <si>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</si>
  <si>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</si>
  <si>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</si>
  <si>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</si>
  <si>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</si>
  <si>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</si>
  <si>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</si>
  <si>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</si>
  <si>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</si>
  <si>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</si>
  <si>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</si>
  <si>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</si>
  <si>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</si>
  <si>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</si>
  <si>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</si>
  <si>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</si>
  <si>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</si>
  <si>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</si>
  <si>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</si>
  <si>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</si>
  <si>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</si>
  <si>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</si>
  <si>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</si>
  <si>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</si>
  <si>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</si>
  <si>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</si>
  <si>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</si>
  <si>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</si>
  <si>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</si>
  <si>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</si>
  <si>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</si>
  <si>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</si>
  <si>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</si>
  <si>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</si>
  <si>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</si>
  <si>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</si>
  <si>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</si>
  <si>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</si>
  <si>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</si>
  <si>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</si>
  <si>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</si>
  <si>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</si>
  <si>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</si>
  <si>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</si>
  <si>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</si>
  <si>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</si>
  <si>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</si>
  <si>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</si>
  <si>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</si>
  <si>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</si>
  <si>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</si>
  <si>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</si>
  <si>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</si>
  <si>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</si>
  <si>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</si>
  <si>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</si>
  <si>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</si>
  <si>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</si>
  <si>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</si>
  <si>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</si>
  <si>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</si>
  <si>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</si>
  <si>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</si>
  <si>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</si>
  <si>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</si>
  <si>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</si>
  <si>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</si>
  <si>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</si>
  <si>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</si>
  <si>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</si>
  <si>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</si>
  <si>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</si>
  <si>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</si>
  <si>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</si>
  <si>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</si>
  <si>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</si>
  <si>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</si>
  <si>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</si>
  <si>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</si>
  <si>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</si>
  <si>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</si>
  <si>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</si>
  <si>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</si>
  <si>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</si>
  <si>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</si>
  <si>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</si>
  <si>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</si>
  <si>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</si>
  <si>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</si>
  <si>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</si>
  <si>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</si>
  <si>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</si>
  <si>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</si>
  <si>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</si>
  <si>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</si>
  <si>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</si>
  <si>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</si>
  <si>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</si>
  <si>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</si>
  <si>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</si>
  <si>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</si>
  <si>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</si>
  <si>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</si>
  <si>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</si>
  <si>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</si>
  <si>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</si>
  <si>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</si>
  <si>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</si>
  <si>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</si>
  <si>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</si>
  <si>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</si>
  <si>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</si>
  <si>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</si>
  <si>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</si>
  <si>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</si>
  <si>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</si>
  <si>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</si>
  <si>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</si>
  <si>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</si>
  <si>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</si>
  <si>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</si>
  <si>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</si>
  <si>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</si>
  <si>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</si>
  <si>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</si>
  <si>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</si>
  <si>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</si>
  <si>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</si>
  <si>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</si>
  <si>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</si>
  <si>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</si>
  <si>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</si>
  <si>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</si>
  <si>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</si>
  <si>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</si>
  <si>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</si>
  <si>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</si>
  <si>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</si>
  <si>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</si>
  <si>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</si>
  <si>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</si>
  <si>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</si>
  <si>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</si>
  <si>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</si>
  <si>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</si>
  <si>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</si>
  <si>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</si>
  <si>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</si>
  <si>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</si>
  <si>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</si>
  <si>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</si>
  <si>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</si>
  <si>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</si>
  <si>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</si>
  <si>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</si>
  <si>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</si>
  <si>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</si>
  <si>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</si>
  <si>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</si>
  <si>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</si>
  <si>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</si>
  <si>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</si>
  <si>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</si>
  <si>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</si>
  <si>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</si>
  <si>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</si>
  <si>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</si>
  <si>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</si>
  <si>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</si>
  <si>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</si>
  <si>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</si>
  <si>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</si>
  <si>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</si>
  <si>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</si>
  <si>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</si>
  <si>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</si>
  <si>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</si>
  <si>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</si>
  <si>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</si>
  <si>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</si>
  <si>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</si>
  <si>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</si>
  <si>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</si>
  <si>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</si>
  <si>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</si>
  <si>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</si>
  <si>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</si>
  <si>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</si>
  <si>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</si>
  <si>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</si>
  <si>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</si>
  <si>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</si>
  <si>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</si>
  <si>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</si>
  <si>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</si>
  <si>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</si>
  <si>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</si>
  <si>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</si>
  <si>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</si>
  <si>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</si>
  <si>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</si>
  <si>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</si>
  <si>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</si>
  <si>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</si>
  <si>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</si>
  <si>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</si>
  <si>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</si>
  <si>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</si>
  <si>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</si>
  <si>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</si>
  <si>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</si>
  <si>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</si>
  <si>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</si>
  <si>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</si>
  <si>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</si>
  <si>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</si>
  <si>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</si>
  <si>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</si>
  <si>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</si>
  <si>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</si>
  <si>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</si>
  <si>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</si>
  <si>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</si>
  <si>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</si>
  <si>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</si>
  <si>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</si>
  <si>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</si>
  <si>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</si>
  <si>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</si>
  <si>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</si>
  <si>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</si>
  <si>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</si>
  <si>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</si>
  <si>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</si>
  <si>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</si>
  <si>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</si>
  <si>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</si>
  <si>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</si>
  <si>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</si>
  <si>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</si>
  <si>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</si>
  <si>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</si>
  <si>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</si>
  <si>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</si>
  <si>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</si>
  <si>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</si>
  <si>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</si>
  <si>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</si>
  <si>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</si>
  <si>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</si>
  <si>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</si>
  <si>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</si>
  <si>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</si>
  <si>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</si>
  <si>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</si>
  <si>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</si>
  <si>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</si>
  <si>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</si>
  <si>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</si>
  <si>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</si>
  <si>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</si>
  <si>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</si>
  <si>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</si>
  <si>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</si>
  <si>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</si>
  <si>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</si>
  <si>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</si>
  <si>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</si>
  <si>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</si>
  <si>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</si>
  <si>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</si>
  <si>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</si>
  <si>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</si>
  <si>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</si>
  <si>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</si>
  <si>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</si>
  <si>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</si>
  <si>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</si>
  <si>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</si>
  <si>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</si>
  <si>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</si>
  <si>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</si>
  <si>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</si>
  <si>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</si>
  <si>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</si>
  <si>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</si>
  <si>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</si>
  <si>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</si>
  <si>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</si>
  <si>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</si>
  <si>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</si>
  <si>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</si>
  <si>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</si>
  <si>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</si>
  <si>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</si>
  <si>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</si>
  <si>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</si>
  <si>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</si>
  <si>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</si>
  <si>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</si>
  <si>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</si>
  <si>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</si>
  <si>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</si>
  <si>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</si>
  <si>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</si>
  <si>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</si>
  <si>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</si>
  <si>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</si>
  <si>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</si>
  <si>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</si>
  <si>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</si>
  <si>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</si>
  <si>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</si>
  <si>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</si>
  <si>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</si>
  <si>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</si>
  <si>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</si>
  <si>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</si>
  <si>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</si>
  <si>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</si>
  <si>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</si>
  <si>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</si>
  <si>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</si>
  <si>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</si>
  <si>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</si>
  <si>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</si>
  <si>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</si>
  <si>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</si>
  <si>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</si>
  <si>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</si>
  <si>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</si>
  <si>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</si>
  <si>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</si>
  <si>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</si>
  <si>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</si>
  <si>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</si>
  <si>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</si>
  <si>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</si>
  <si>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</si>
  <si>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</si>
  <si>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</si>
  <si>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</si>
  <si>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</si>
  <si>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</si>
  <si>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</si>
  <si>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</si>
  <si>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</si>
  <si>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</si>
  <si>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</si>
  <si>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</si>
  <si>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</si>
  <si>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</si>
  <si>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</si>
  <si>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</si>
  <si>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</si>
  <si>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</si>
  <si>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</si>
  <si>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</si>
  <si>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</si>
  <si>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</si>
  <si>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</si>
  <si>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</si>
  <si>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</si>
  <si>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</si>
  <si>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</si>
  <si>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</si>
  <si>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</si>
  <si>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</si>
  <si>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</si>
  <si>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</si>
  <si>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</si>
  <si>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</si>
  <si>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</si>
  <si>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</si>
  <si>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</si>
  <si>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</si>
  <si>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</si>
  <si>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</si>
  <si>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</si>
  <si>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</si>
  <si>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</si>
  <si>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</si>
  <si>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</si>
  <si>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</si>
  <si>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</si>
  <si>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</si>
  <si>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</si>
  <si>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</si>
  <si>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</si>
  <si>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</si>
  <si>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</si>
  <si>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</si>
  <si>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</si>
  <si>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</si>
  <si>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</si>
  <si>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</si>
  <si>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</si>
  <si>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</si>
  <si>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</si>
  <si>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</si>
  <si>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</si>
  <si>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</si>
  <si>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</si>
  <si>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</si>
  <si>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</si>
  <si>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</si>
  <si>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</si>
  <si>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</si>
  <si>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</si>
  <si>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</si>
  <si>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</si>
  <si>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</si>
  <si>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</si>
  <si>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</si>
  <si>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</si>
  <si>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</si>
  <si>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</si>
  <si>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</si>
  <si>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</si>
  <si>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</si>
  <si>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</si>
  <si>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</si>
  <si>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</si>
  <si>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</si>
  <si>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</si>
  <si>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</si>
  <si>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</si>
  <si>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</si>
  <si>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</si>
  <si>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</si>
  <si>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</si>
  <si>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</si>
  <si>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</si>
  <si>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</si>
  <si>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</si>
  <si>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</si>
  <si>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</si>
  <si>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</si>
  <si>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</si>
  <si>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</si>
  <si>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</si>
  <si>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</si>
  <si>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</si>
  <si>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</si>
  <si>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</si>
  <si>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</si>
  <si>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</si>
  <si>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</si>
  <si>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</si>
  <si>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</si>
  <si>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</si>
  <si>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</si>
  <si>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</si>
  <si>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</si>
  <si>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</si>
  <si>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</si>
  <si>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</si>
  <si>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</si>
  <si>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</si>
  <si>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</si>
  <si>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</si>
  <si>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</si>
  <si>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</si>
  <si>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</si>
  <si>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</si>
  <si>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</si>
  <si>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</si>
  <si>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</si>
  <si>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</si>
  <si>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</si>
  <si>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</si>
  <si>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</si>
  <si>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</si>
  <si>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</si>
  <si>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</si>
  <si>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</si>
  <si>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</si>
  <si>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</si>
  <si>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</si>
  <si>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</si>
  <si>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</si>
  <si>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</si>
  <si>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</si>
  <si>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</si>
  <si>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</si>
  <si>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</si>
  <si>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</si>
  <si>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</si>
  <si>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</si>
  <si>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</si>
  <si>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</si>
  <si>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</si>
  <si>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</si>
  <si>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</si>
  <si>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</si>
  <si>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</si>
  <si>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</si>
  <si>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</si>
  <si>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</si>
  <si>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</si>
  <si>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</si>
  <si>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</si>
  <si>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</si>
  <si>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</si>
  <si>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</si>
  <si>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</si>
  <si>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</si>
  <si>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</si>
  <si>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</si>
  <si>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</si>
  <si>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</si>
  <si>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</si>
  <si>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</si>
  <si>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</si>
  <si>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</si>
  <si>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</si>
  <si>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</si>
  <si>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</si>
  <si>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</si>
  <si>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</si>
  <si>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</si>
  <si>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</si>
  <si>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</si>
  <si>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</si>
  <si>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</si>
  <si>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</si>
  <si>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</si>
  <si>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</si>
  <si>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</si>
  <si>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</si>
  <si>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</si>
  <si>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</si>
  <si>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</si>
  <si>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</si>
  <si>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</si>
  <si>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</si>
  <si>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</si>
  <si>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</si>
  <si>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</si>
  <si>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</si>
  <si>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</si>
  <si>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</si>
  <si>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</si>
  <si>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</si>
  <si>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</si>
  <si>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</si>
  <si>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</si>
  <si>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</si>
  <si>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</si>
  <si>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</si>
  <si>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</si>
  <si>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</si>
  <si>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</si>
  <si>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</si>
  <si>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</si>
  <si>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</si>
  <si>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</si>
  <si>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</si>
  <si>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</si>
  <si>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</si>
  <si>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</si>
  <si>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</si>
  <si>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</si>
  <si>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</si>
  <si>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</si>
  <si>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</si>
  <si>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</si>
  <si>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</si>
  <si>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</si>
  <si>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</si>
  <si>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</si>
  <si>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</si>
  <si>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</si>
  <si>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</si>
  <si>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</si>
  <si>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</si>
  <si>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</si>
  <si>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</si>
  <si>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</si>
  <si>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</si>
  <si>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</si>
  <si>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</si>
  <si>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</si>
  <si>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</si>
  <si>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</si>
  <si>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</si>
  <si>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</si>
  <si>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</si>
  <si>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</si>
  <si>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</si>
  <si>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</si>
  <si>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</si>
  <si>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</si>
  <si>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</si>
  <si>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</si>
  <si>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</si>
  <si>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</si>
  <si>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</si>
  <si>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</si>
  <si>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</si>
  <si>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</si>
  <si>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</si>
  <si>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</si>
  <si>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</si>
  <si>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</si>
  <si>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</si>
  <si>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</si>
  <si>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</si>
  <si>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</si>
  <si>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</si>
  <si>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</si>
  <si>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</si>
  <si>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</si>
  <si>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</si>
  <si>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</si>
  <si>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</si>
  <si>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</si>
  <si>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</si>
  <si>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</si>
  <si>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</si>
  <si>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</si>
  <si>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</si>
  <si>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</si>
  <si>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</si>
  <si>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</si>
  <si>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</si>
  <si>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</si>
  <si>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</si>
  <si>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</si>
  <si>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</si>
  <si>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</si>
  <si>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</si>
  <si>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</si>
  <si>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</si>
  <si>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</si>
  <si>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</si>
  <si>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</si>
  <si>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</si>
  <si>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</si>
  <si>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</si>
  <si>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</si>
  <si>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</si>
  <si>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</si>
  <si>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</si>
  <si>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</si>
  <si>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</si>
  <si>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</si>
  <si>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</si>
  <si>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</si>
  <si>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</si>
  <si>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</si>
  <si>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</si>
  <si>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</si>
  <si>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</si>
  <si>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</si>
  <si>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</si>
  <si>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</si>
  <si>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</si>
  <si>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</si>
  <si>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</si>
  <si>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</si>
  <si>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</si>
  <si>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</si>
  <si>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</si>
  <si>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</si>
  <si>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</si>
  <si>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</si>
  <si>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</si>
  <si>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</si>
  <si>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</si>
  <si>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</si>
  <si>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</si>
  <si>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</si>
  <si>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</si>
  <si>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</si>
  <si>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</si>
  <si>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</si>
  <si>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</si>
  <si>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</si>
  <si>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</si>
  <si>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</si>
  <si>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</si>
  <si>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</si>
  <si>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</si>
  <si>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</si>
  <si>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</si>
  <si>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</si>
  <si>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</si>
  <si>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</si>
  <si>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</si>
  <si>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</si>
  <si>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</si>
  <si>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</si>
  <si>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</si>
  <si>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</si>
  <si>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</si>
  <si>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</si>
  <si>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</si>
  <si>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</si>
  <si>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</si>
  <si>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</si>
  <si>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</si>
  <si>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</si>
  <si>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</si>
  <si>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</si>
  <si>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</si>
  <si>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</si>
  <si>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</si>
  <si>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</si>
  <si>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</si>
  <si>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</si>
  <si>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</si>
  <si>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</si>
  <si>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</si>
  <si>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</si>
  <si>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</si>
  <si>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</si>
  <si>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</si>
  <si>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</si>
  <si>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</si>
  <si>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</si>
  <si>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</si>
  <si>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</si>
  <si>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</si>
  <si>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</si>
  <si>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</si>
  <si>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</si>
  <si>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</si>
  <si>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</si>
  <si>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</si>
  <si>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</si>
  <si>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</si>
  <si>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</si>
  <si>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</si>
  <si>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</si>
  <si>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</si>
  <si>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</si>
  <si>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</si>
  <si>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</si>
  <si>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</si>
  <si>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</si>
  <si>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</si>
  <si>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</si>
  <si>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</si>
  <si>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</si>
  <si>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</si>
  <si>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</si>
  <si>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</si>
  <si>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</si>
  <si>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</si>
  <si>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</si>
  <si>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</si>
  <si>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</si>
  <si>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</si>
  <si>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</si>
  <si>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</si>
  <si>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</si>
  <si>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</si>
  <si>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</si>
  <si>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</si>
  <si>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</si>
  <si>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</si>
  <si>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</si>
  <si>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</si>
  <si>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</si>
  <si>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</si>
  <si>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</si>
  <si>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</si>
  <si>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</si>
  <si>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</si>
  <si>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</si>
  <si>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</si>
  <si>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</si>
  <si>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</si>
  <si>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</si>
  <si>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</si>
  <si>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</si>
  <si>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</si>
  <si>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</si>
  <si>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</si>
  <si>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</si>
  <si>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</si>
  <si>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</si>
  <si>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</si>
  <si>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</si>
  <si>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</si>
  <si>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</si>
  <si>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</si>
  <si>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</si>
  <si>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</si>
  <si>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</si>
  <si>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</si>
  <si>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</si>
  <si>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</si>
  <si>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</si>
  <si>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</si>
  <si>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</si>
  <si>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</si>
  <si>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</si>
  <si>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</si>
  <si>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</si>
  <si>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</si>
  <si>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</si>
  <si>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</si>
  <si>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</si>
  <si>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</si>
  <si>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</si>
  <si>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</si>
  <si>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</si>
  <si>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</si>
  <si>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</si>
  <si>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</si>
  <si>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</si>
  <si>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</si>
  <si>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</si>
  <si>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</si>
  <si>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</si>
  <si>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</si>
  <si>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</si>
  <si>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</si>
  <si>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</si>
  <si>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</si>
  <si>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</si>
  <si>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</si>
  <si>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</si>
  <si>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</si>
  <si>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</si>
  <si>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</si>
  <si>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</si>
  <si>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</si>
  <si>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</si>
  <si>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</si>
  <si>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</si>
  <si>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</si>
  <si>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</si>
  <si>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</si>
  <si>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</si>
  <si>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</si>
  <si>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</si>
  <si>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</si>
  <si>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</si>
  <si>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</si>
  <si>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</si>
  <si>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</si>
  <si>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</si>
  <si>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</si>
  <si>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</si>
  <si>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</si>
  <si>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</si>
  <si>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</si>
  <si>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</si>
  <si>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</si>
  <si>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</si>
  <si>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</si>
  <si>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</si>
  <si>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</si>
  <si>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</si>
  <si>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</si>
  <si>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</si>
  <si>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</si>
  <si>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</si>
  <si>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</si>
  <si>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</si>
  <si>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</si>
  <si>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</si>
  <si>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</si>
  <si>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</si>
  <si>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</si>
  <si>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</si>
  <si>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</si>
  <si>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</si>
  <si>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</si>
  <si>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</si>
  <si>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</si>
  <si>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</si>
  <si>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</si>
  <si>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</si>
  <si>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</si>
  <si>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</si>
  <si>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</si>
  <si>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</si>
  <si>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</si>
  <si>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</si>
  <si>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</si>
  <si>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</si>
  <si>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</si>
  <si>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</si>
  <si>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</si>
  <si>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</si>
  <si>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</si>
  <si>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</si>
  <si>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</si>
  <si>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</si>
  <si>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</si>
  <si>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</si>
  <si>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</si>
  <si>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</si>
  <si>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</si>
  <si>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</si>
  <si>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</si>
  <si>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</si>
  <si>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</si>
  <si>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</si>
  <si>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</si>
  <si>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</si>
  <si>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</si>
  <si>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</si>
  <si>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</si>
  <si>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</si>
  <si>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</si>
  <si>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</si>
  <si>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</si>
  <si>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</si>
  <si>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</si>
  <si>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</si>
  <si>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</si>
  <si>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</si>
  <si>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</si>
  <si>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</si>
  <si>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</si>
  <si>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</si>
  <si>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</si>
  <si>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</si>
  <si>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</si>
  <si>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</si>
  <si>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</si>
  <si>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</si>
  <si>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</si>
  <si>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</si>
  <si>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</si>
  <si>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</si>
  <si>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</si>
  <si>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</si>
  <si>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</si>
  <si>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</si>
  <si>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</si>
  <si>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</si>
  <si>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</si>
  <si>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</si>
  <si>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</si>
  <si>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</si>
  <si>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</si>
  <si>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</si>
  <si>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</si>
  <si>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</si>
  <si>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</si>
  <si>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</si>
  <si>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</si>
  <si>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</si>
  <si>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</si>
  <si>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</si>
  <si>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</si>
  <si>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</si>
  <si>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</si>
  <si>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</si>
  <si>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</si>
  <si>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</si>
  <si>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</si>
  <si>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</si>
  <si>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</si>
  <si>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</si>
  <si>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</si>
  <si>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</si>
  <si>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</si>
  <si>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</si>
  <si>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</si>
  <si>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</si>
  <si>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</si>
  <si>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</si>
  <si>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</si>
  <si>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</si>
  <si>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</si>
  <si>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</si>
  <si>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</si>
  <si>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</si>
  <si>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</si>
  <si>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</si>
  <si>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</si>
  <si>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</si>
  <si>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</si>
  <si>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</si>
  <si>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</si>
  <si>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</si>
  <si>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</si>
  <si>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</si>
  <si>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</si>
  <si>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</si>
  <si>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</si>
  <si>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</si>
  <si>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</si>
  <si>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</si>
  <si>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</si>
  <si>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</si>
  <si>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</si>
  <si>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</si>
  <si>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</si>
  <si>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</si>
  <si>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</si>
  <si>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</si>
  <si>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</si>
  <si>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</si>
  <si>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</si>
  <si>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</si>
  <si>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</si>
  <si>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</si>
  <si>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</si>
  <si>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</si>
  <si>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</si>
  <si>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</si>
  <si>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</si>
  <si>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</si>
  <si>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</si>
  <si>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</si>
  <si>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</si>
  <si>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</si>
  <si>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</si>
  <si>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</si>
  <si>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</si>
  <si>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</si>
  <si>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</si>
  <si>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</si>
  <si>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</si>
  <si>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</si>
  <si>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</si>
  <si>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</si>
  <si>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</si>
  <si>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</si>
  <si>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</si>
  <si>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</si>
  <si>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</si>
  <si>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</si>
  <si>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</si>
  <si>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</si>
  <si>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</si>
  <si>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</si>
  <si>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</si>
  <si>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</si>
  <si>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</si>
  <si>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</si>
  <si>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</si>
  <si>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</si>
  <si>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</si>
  <si>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</si>
  <si>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</si>
  <si>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</si>
  <si>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</si>
  <si>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</si>
  <si>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</si>
  <si>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</si>
  <si>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</si>
  <si>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</si>
  <si>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</si>
  <si>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</si>
  <si>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</si>
  <si>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</si>
  <si>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</si>
  <si>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</si>
  <si>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</si>
  <si>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</si>
  <si>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</si>
  <si>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</si>
  <si>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</si>
  <si>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</si>
  <si>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</si>
  <si>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</si>
  <si>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</si>
  <si>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</si>
  <si>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</si>
  <si>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</si>
  <si>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</si>
  <si>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</si>
  <si>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</si>
  <si>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</si>
  <si>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</si>
  <si>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</si>
  <si>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</si>
  <si>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</si>
  <si>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</si>
  <si>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</si>
  <si>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</si>
  <si>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</si>
  <si>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</si>
  <si>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</si>
  <si>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</si>
  <si>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</si>
  <si>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</si>
  <si>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</si>
  <si>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</si>
  <si>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</si>
  <si>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</si>
  <si>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</si>
  <si>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</si>
  <si>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</si>
  <si>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</si>
  <si>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</si>
  <si>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</si>
  <si>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</si>
  <si>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</si>
  <si>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</si>
  <si>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</si>
  <si>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</si>
  <si>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</si>
  <si>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</si>
  <si>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</si>
  <si>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</si>
  <si>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</si>
  <si>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</si>
  <si>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</si>
  <si>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</si>
  <si>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</si>
  <si>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</si>
  <si>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</si>
  <si>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</si>
  <si>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</si>
  <si>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</si>
  <si>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</si>
  <si>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</si>
  <si>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</si>
  <si>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</si>
  <si>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</si>
  <si>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</si>
  <si>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</si>
  <si>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</si>
  <si>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</si>
  <si>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</si>
  <si>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</si>
  <si>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</si>
  <si>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</si>
  <si>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</si>
  <si>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</si>
  <si>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</si>
  <si>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</si>
  <si>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</si>
  <si>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</si>
  <si>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</si>
  <si>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</si>
  <si>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</si>
  <si>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</si>
  <si>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</si>
  <si>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</si>
  <si>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</si>
  <si>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</si>
  <si>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</si>
  <si>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</si>
  <si>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</si>
  <si>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</si>
  <si>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</si>
  <si>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</si>
  <si>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</si>
  <si>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</si>
  <si>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</si>
  <si>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</si>
  <si>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</si>
  <si>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</si>
  <si>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</si>
  <si>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</si>
  <si>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</si>
  <si>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</si>
  <si>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</si>
  <si>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</si>
  <si>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</si>
  <si>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</si>
  <si>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</si>
  <si>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</si>
  <si>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</si>
  <si>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</si>
  <si>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</si>
  <si>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</si>
  <si>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</si>
  <si>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</si>
  <si>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</si>
  <si>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</si>
  <si>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</si>
  <si>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</si>
  <si>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</si>
  <si>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</si>
  <si>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</si>
  <si>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</si>
  <si>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</si>
  <si>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</si>
  <si>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</si>
  <si>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</si>
  <si>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</si>
  <si>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</si>
  <si>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</si>
  <si>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</si>
  <si>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</si>
  <si>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</si>
  <si>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</si>
  <si>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</si>
  <si>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</si>
  <si>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</si>
  <si>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</si>
  <si>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</si>
  <si>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</si>
  <si>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</si>
  <si>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</si>
  <si>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</si>
  <si>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</si>
  <si>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</si>
  <si>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</si>
  <si>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</si>
  <si>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</si>
  <si>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</si>
  <si>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</si>
  <si>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</si>
  <si>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</si>
  <si>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</si>
  <si>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</si>
  <si>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</si>
  <si>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</si>
  <si>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</si>
  <si>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</si>
  <si>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</si>
  <si>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</si>
  <si>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</si>
  <si>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</si>
  <si>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</si>
  <si>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</si>
  <si>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</si>
  <si>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</si>
  <si>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</si>
  <si>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</si>
  <si>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</si>
  <si>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</si>
  <si>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</si>
  <si>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</si>
  <si>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</si>
  <si>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</si>
  <si>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</si>
  <si>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</si>
  <si>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</si>
  <si>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</si>
  <si>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</si>
  <si>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</si>
  <si>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</si>
  <si>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</si>
  <si>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</si>
  <si>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</si>
  <si>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</si>
  <si>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</si>
  <si>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</si>
  <si>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</si>
  <si>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</si>
  <si>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</si>
  <si>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</si>
  <si>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</si>
  <si>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</si>
  <si>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</si>
  <si>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</si>
  <si>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</si>
  <si>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</si>
  <si>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</si>
  <si>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</si>
  <si>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</si>
  <si>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</si>
  <si>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</si>
  <si>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</si>
  <si>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</si>
  <si>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</si>
  <si>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</si>
  <si>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</si>
  <si>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</si>
  <si>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</si>
  <si>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</si>
  <si>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</si>
  <si>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</si>
  <si>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</si>
  <si>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</si>
  <si>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</si>
  <si>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</si>
  <si>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</si>
  <si>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</si>
  <si>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</si>
  <si>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</si>
  <si>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</si>
  <si>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</si>
  <si>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</si>
  <si>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</si>
  <si>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</si>
  <si>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</si>
  <si>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</si>
  <si>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</si>
  <si>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</si>
  <si>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</si>
  <si>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</si>
  <si>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</si>
  <si>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</si>
  <si>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</si>
  <si>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</si>
  <si>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</si>
  <si>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</si>
  <si>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</si>
  <si>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</si>
  <si>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</si>
  <si>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</si>
  <si>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</si>
  <si>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</si>
  <si>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</si>
  <si>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</si>
  <si>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</si>
  <si>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</si>
  <si>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</si>
  <si>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</si>
  <si>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</si>
  <si>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</si>
  <si>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</si>
  <si>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</si>
  <si>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</si>
  <si>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</si>
  <si>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</si>
  <si>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</si>
  <si>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</si>
  <si>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</si>
  <si>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</si>
  <si>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</si>
  <si>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</si>
  <si>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</si>
  <si>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</si>
  <si>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</si>
  <si>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</si>
  <si>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</si>
  <si>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</si>
  <si>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</si>
  <si>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</si>
  <si>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</si>
  <si>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</si>
  <si>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</si>
  <si>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</si>
  <si>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</si>
  <si>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</si>
  <si>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</si>
  <si>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</si>
  <si>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</si>
  <si>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</si>
  <si>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</si>
  <si>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</si>
  <si>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</si>
  <si>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</si>
  <si>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</si>
  <si>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</si>
  <si>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</si>
  <si>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</si>
  <si>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</si>
  <si>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</si>
  <si>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</si>
  <si>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</si>
  <si>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</si>
  <si>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</si>
  <si>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</si>
  <si>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</si>
  <si>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</si>
  <si>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</si>
  <si>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</si>
  <si>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</si>
  <si>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</si>
  <si>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</si>
  <si>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</si>
  <si>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</si>
  <si>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</si>
  <si>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</si>
  <si>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</si>
  <si>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</si>
  <si>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</si>
  <si>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</si>
  <si>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</si>
  <si>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</si>
  <si>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</si>
  <si>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</si>
  <si>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</si>
  <si>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</si>
  <si>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</si>
  <si>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</si>
  <si>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</si>
  <si>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</si>
  <si>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</si>
  <si>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</si>
  <si>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</si>
  <si>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</si>
  <si>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</si>
  <si>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</si>
  <si>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</si>
  <si>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</si>
  <si>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</si>
  <si>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</si>
  <si>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Unknown forb</t>
  </si>
  <si>
    <t>MRCPL1912021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</si>
</sst>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4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/>
    <xf numFmtId="0" fontId="4" fillId="0" borderId="26" xfId="1" applyFont="1" applyBorder="1"/>
    <xf numFmtId="0" fontId="8" fillId="0" borderId="26" xfId="1" applyBorder="1"/>
    <xf numFmtId="0" fontId="8" fillId="0" borderId="25" xfId="1" applyBorder="1" applyAlignment="1">
      <alignment horizontal="center"/>
    </xf>
    <xf numFmtId="0" fontId="8" fillId="0" borderId="26" xfId="1" applyBorder="1" applyAlignment="1">
      <alignment horizontal="center"/>
    </xf>
    <xf numFmtId="0" fontId="4" fillId="0" borderId="33" xfId="1" applyFont="1" applyBorder="1"/>
    <xf numFmtId="0" fontId="8" fillId="0" borderId="34" xfId="1" applyBorder="1" applyAlignment="1">
      <alignment horizontal="center"/>
    </xf>
    <xf numFmtId="0" fontId="8" fillId="0" borderId="33" xfId="1" applyBorder="1" applyAlignment="1">
      <alignment horizontal="center"/>
    </xf>
    <xf numFmtId="0" fontId="8" fillId="0" borderId="25" xfId="0" applyFont="1" applyBorder="1"/>
    <xf numFmtId="0" fontId="8" fillId="0" borderId="25" xfId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0" t="s">
        <v>57</v>
      </c>
      <c r="B2" s="130"/>
      <c r="C2" s="130"/>
      <c r="D2" s="130"/>
      <c r="E2" s="130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2" t="s">
        <v>5401</v>
      </c>
      <c r="B22" s="132"/>
      <c r="C22" s="132"/>
      <c r="D22" s="132"/>
      <c r="E22" s="132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1" t="s">
        <v>5402</v>
      </c>
      <c r="B24" s="131"/>
      <c r="C24" s="131"/>
      <c r="D24" s="131"/>
      <c r="E24" s="131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1" t="s">
        <v>61</v>
      </c>
      <c r="B39" s="131"/>
      <c r="C39" s="131"/>
      <c r="D39" s="131"/>
      <c r="E39" s="131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1" t="s">
        <v>62</v>
      </c>
      <c r="B45" s="131"/>
      <c r="C45" s="131"/>
      <c r="D45" s="131"/>
      <c r="E45" s="131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6" t="s">
        <v>43</v>
      </c>
      <c r="B93" s="127"/>
      <c r="C93" s="129"/>
      <c r="D93" s="133" t="s">
        <v>44</v>
      </c>
      <c r="E93" s="128"/>
    </row>
    <row r="94" spans="1:5" x14ac:dyDescent="0.2">
      <c r="A94" s="73" t="s">
        <v>23</v>
      </c>
      <c r="B94" s="124" t="s">
        <v>30</v>
      </c>
      <c r="C94" s="125"/>
      <c r="D94" s="3" t="s">
        <v>46</v>
      </c>
      <c r="E94" s="9">
        <v>8</v>
      </c>
    </row>
    <row r="95" spans="1:5" x14ac:dyDescent="0.2">
      <c r="A95" s="73" t="s">
        <v>24</v>
      </c>
      <c r="B95" s="120" t="s">
        <v>31</v>
      </c>
      <c r="C95" s="121"/>
      <c r="D95" s="3" t="s">
        <v>47</v>
      </c>
      <c r="E95" s="9">
        <v>7</v>
      </c>
    </row>
    <row r="96" spans="1:5" x14ac:dyDescent="0.2">
      <c r="A96" s="73" t="s">
        <v>3</v>
      </c>
      <c r="B96" s="120" t="s">
        <v>32</v>
      </c>
      <c r="C96" s="121"/>
      <c r="D96" s="3" t="s">
        <v>48</v>
      </c>
      <c r="E96" s="9">
        <v>6</v>
      </c>
    </row>
    <row r="97" spans="1:5" x14ac:dyDescent="0.2">
      <c r="A97" s="73" t="s">
        <v>25</v>
      </c>
      <c r="B97" s="120" t="s">
        <v>33</v>
      </c>
      <c r="C97" s="121"/>
      <c r="D97" s="3" t="s">
        <v>49</v>
      </c>
      <c r="E97" s="9">
        <v>5</v>
      </c>
    </row>
    <row r="98" spans="1:5" x14ac:dyDescent="0.2">
      <c r="A98" s="73" t="s">
        <v>26</v>
      </c>
      <c r="B98" s="120" t="s">
        <v>34</v>
      </c>
      <c r="C98" s="121"/>
      <c r="D98" s="3" t="s">
        <v>50</v>
      </c>
      <c r="E98" s="9">
        <v>4</v>
      </c>
    </row>
    <row r="99" spans="1:5" x14ac:dyDescent="0.2">
      <c r="A99" s="73" t="s">
        <v>27</v>
      </c>
      <c r="B99" s="120" t="s">
        <v>35</v>
      </c>
      <c r="C99" s="121"/>
      <c r="D99" s="3" t="s">
        <v>4</v>
      </c>
      <c r="E99" s="9">
        <v>3</v>
      </c>
    </row>
    <row r="100" spans="1:5" x14ac:dyDescent="0.2">
      <c r="A100" s="73" t="s">
        <v>2</v>
      </c>
      <c r="B100" s="120" t="s">
        <v>36</v>
      </c>
      <c r="C100" s="121"/>
      <c r="D100" s="3" t="s">
        <v>5</v>
      </c>
      <c r="E100" s="9">
        <v>2</v>
      </c>
    </row>
    <row r="101" spans="1:5" x14ac:dyDescent="0.2">
      <c r="A101" s="73" t="s">
        <v>28</v>
      </c>
      <c r="B101" s="120" t="s">
        <v>37</v>
      </c>
      <c r="C101" s="121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2" t="s">
        <v>38</v>
      </c>
      <c r="C102" s="123"/>
      <c r="D102" s="5"/>
      <c r="E102" s="8"/>
    </row>
    <row r="103" spans="1:5" ht="13.2" thickBot="1" x14ac:dyDescent="0.25">
      <c r="A103" s="126" t="s">
        <v>68</v>
      </c>
      <c r="B103" s="127"/>
      <c r="C103" s="129"/>
      <c r="D103" s="133" t="s">
        <v>45</v>
      </c>
      <c r="E103" s="128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6" t="s">
        <v>21</v>
      </c>
      <c r="B112" s="127"/>
      <c r="C112" s="128"/>
    </row>
    <row r="113" spans="1:3" x14ac:dyDescent="0.2">
      <c r="A113" s="73">
        <v>1</v>
      </c>
      <c r="B113" s="124" t="s">
        <v>40</v>
      </c>
      <c r="C113" s="125"/>
    </row>
    <row r="114" spans="1:3" x14ac:dyDescent="0.2">
      <c r="A114" s="73" t="s">
        <v>39</v>
      </c>
      <c r="B114" s="120" t="s">
        <v>41</v>
      </c>
      <c r="C114" s="121"/>
    </row>
    <row r="115" spans="1:3" x14ac:dyDescent="0.2">
      <c r="A115" s="74" t="s">
        <v>15</v>
      </c>
      <c r="B115" s="118" t="s">
        <v>42</v>
      </c>
      <c r="C115" s="119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0" t="s">
        <v>127</v>
      </c>
      <c r="B1" s="130"/>
      <c r="C1" s="130"/>
      <c r="D1" s="130"/>
      <c r="E1" s="130"/>
      <c r="F1" s="130"/>
      <c r="G1" s="130"/>
      <c r="H1" s="14"/>
    </row>
    <row r="2" spans="1:14" x14ac:dyDescent="0.2">
      <c r="A2" s="136" t="s">
        <v>138</v>
      </c>
      <c r="B2" s="136"/>
      <c r="C2" s="15"/>
      <c r="D2" s="15"/>
      <c r="E2" s="15"/>
      <c r="F2" s="15"/>
      <c r="G2" s="15"/>
      <c r="H2" s="15"/>
    </row>
    <row r="3" spans="1:14" x14ac:dyDescent="0.2">
      <c r="A3" s="137" t="s">
        <v>52</v>
      </c>
      <c r="B3" s="137"/>
      <c r="C3" s="15"/>
      <c r="D3" s="15"/>
      <c r="E3" s="15"/>
      <c r="F3" s="15"/>
      <c r="G3" s="15"/>
      <c r="H3" s="15"/>
    </row>
    <row r="4" spans="1:14" x14ac:dyDescent="0.2">
      <c r="A4" s="137" t="s">
        <v>55</v>
      </c>
      <c r="B4" s="137"/>
      <c r="C4" s="15"/>
      <c r="D4" s="15"/>
      <c r="E4" s="15"/>
      <c r="F4" s="15"/>
      <c r="G4" s="15"/>
      <c r="H4" s="15"/>
    </row>
    <row r="5" spans="1:14" x14ac:dyDescent="0.2">
      <c r="A5" s="137" t="s">
        <v>51</v>
      </c>
      <c r="B5" s="137"/>
      <c r="C5" s="15"/>
      <c r="D5" s="15"/>
      <c r="E5" s="15"/>
      <c r="F5" s="15"/>
      <c r="G5" s="15"/>
      <c r="H5" s="15"/>
    </row>
    <row r="6" spans="1:14" x14ac:dyDescent="0.2">
      <c r="A6" s="134" t="s">
        <v>128</v>
      </c>
      <c r="B6" s="134"/>
    </row>
    <row r="7" spans="1:14" x14ac:dyDescent="0.2">
      <c r="A7" s="134" t="s">
        <v>129</v>
      </c>
      <c r="B7" s="134"/>
      <c r="C7" s="135"/>
      <c r="D7" s="135"/>
      <c r="E7" s="135"/>
      <c r="F7" s="135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970" zoomScale="70" zoomScaleNormal="70" workbookViewId="0">
      <selection activeCell="A2992" sqref="A2992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49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89" t="s">
        <v>138</v>
      </c>
      <c r="B2" s="47"/>
      <c r="C2" s="46" t="s">
        <v>5440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9"/>
      <c r="C7" s="139"/>
      <c r="D7" s="139"/>
      <c r="E7" s="139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3694</v>
      </c>
      <c r="B12" s="44" t="str">
        <f>IF(LEN(VLOOKUP(A12,'Species List'!$A:$G,2,FALSE))=0,"",VLOOKUP(A12,'Species List'!$A:$G,2,FALSE))</f>
        <v>bur oak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[FAC-]</v>
      </c>
      <c r="H12" s="44">
        <f>VLOOKUP(A12,'Species List'!$A:$G,7,FALSE)</f>
        <v>0</v>
      </c>
      <c r="J12" s="111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 t="shared" ref="N12:N43" si="0">L12/$L$149</f>
        <v>0.11764705882352941</v>
      </c>
      <c r="O12" s="88">
        <f>D12*N12</f>
        <v>0.58823529411764708</v>
      </c>
    </row>
    <row r="13" spans="1:15" x14ac:dyDescent="0.2">
      <c r="A13" s="108" t="s">
        <v>2764</v>
      </c>
      <c r="B13" s="44" t="str">
        <f>IF(LEN(VLOOKUP(A13,'Species List'!$A:$G,2,FALSE))=0,"",VLOOKUP(A13,'Species List'!$A:$G,2,FALSE))</f>
        <v>tartarian honeysuckle</v>
      </c>
      <c r="C13" s="44">
        <f>IF(LEN(VLOOKUP(A13,'Species List'!$A:$G,3,FALSE))=0,"",VLOOKUP(A13,'Species List'!$A:$G,3,FALSE))</f>
        <v>0</v>
      </c>
      <c r="D13" s="103">
        <f t="shared" ref="D13:D74" si="1">VALUE(C13)</f>
        <v>0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FACU*</v>
      </c>
      <c r="H13" s="44">
        <f>VLOOKUP(A13,'Species List'!$A:$G,7,FALSE)</f>
        <v>0</v>
      </c>
      <c r="J13" s="111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4" si="2">VALUE(L13)</f>
        <v>3</v>
      </c>
      <c r="N13" s="88">
        <f t="shared" si="0"/>
        <v>0.11764705882352941</v>
      </c>
      <c r="O13" s="102">
        <f t="shared" ref="O13:O74" si="3">D13*N13</f>
        <v>0</v>
      </c>
    </row>
    <row r="14" spans="1:15" x14ac:dyDescent="0.2">
      <c r="A14" s="108" t="s">
        <v>3757</v>
      </c>
      <c r="B14" s="44" t="str">
        <f>IF(LEN(VLOOKUP(A14,'Species List'!$A:$G,2,FALSE))=0,"",VLOOKUP(A14,'Species List'!$A:$G,2,FALSE))</f>
        <v>common buckthorn</v>
      </c>
      <c r="C14" s="44">
        <f>IF(LEN(VLOOKUP(A14,'Species List'!$A:$G,3,FALSE))=0,"",VLOOKUP(A14,'Species List'!$A:$G,3,FALSE))</f>
        <v>0</v>
      </c>
      <c r="D14" s="103">
        <f t="shared" si="1"/>
        <v>0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2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88">
        <f t="shared" si="0"/>
        <v>0.11764705882352941</v>
      </c>
      <c r="O14" s="102">
        <f t="shared" si="3"/>
        <v>0</v>
      </c>
    </row>
    <row r="15" spans="1:15" x14ac:dyDescent="0.2">
      <c r="A15" s="108" t="s">
        <v>1251</v>
      </c>
      <c r="B15" s="44" t="str">
        <f>IF(LEN(VLOOKUP(A15,'Species List'!$A:$G,2,FALSE))=0,"",VLOOKUP(A15,'Species List'!$A:$G,2,FALSE))</f>
        <v>hackberry</v>
      </c>
      <c r="C15" s="44">
        <f>IF(LEN(VLOOKUP(A15,'Species List'!$A:$G,3,FALSE))=0,"",VLOOKUP(A15,'Species List'!$A:$G,3,FALSE))</f>
        <v>3</v>
      </c>
      <c r="D15" s="103">
        <f t="shared" si="1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[FAC-]</v>
      </c>
      <c r="H15" s="44">
        <f>VLOOKUP(A15,'Species List'!$A:$G,7,FALSE)</f>
        <v>0</v>
      </c>
      <c r="J15" s="112" t="s">
        <v>5420</v>
      </c>
      <c r="K15" s="47" t="str">
        <f>VLOOKUP(J15,'Species List'!$H$1:$J$9,2,FALSE)</f>
        <v>&gt;0-1%</v>
      </c>
      <c r="L15" s="47">
        <f>VLOOKUP(K15,'Species List'!$I$1:$N$8,2,FALSE)</f>
        <v>0.5</v>
      </c>
      <c r="M15" s="104">
        <f t="shared" si="2"/>
        <v>0.5</v>
      </c>
      <c r="N15" s="88">
        <f t="shared" si="0"/>
        <v>1.9607843137254902E-2</v>
      </c>
      <c r="O15" s="102">
        <f t="shared" si="3"/>
        <v>5.8823529411764705E-2</v>
      </c>
    </row>
    <row r="16" spans="1:15" x14ac:dyDescent="0.2">
      <c r="A16" s="108" t="s">
        <v>3538</v>
      </c>
      <c r="B16" s="44" t="str">
        <f>IF(LEN(VLOOKUP(A16,'Species List'!$A:$G,2,FALSE))=0,"",VLOOKUP(A16,'Species List'!$A:$G,2,FALSE))</f>
        <v>quaking aspen</v>
      </c>
      <c r="C16" s="44">
        <f>IF(LEN(VLOOKUP(A16,'Species List'!$A:$G,3,FALSE))=0,"",VLOOKUP(A16,'Species List'!$A:$G,3,FALSE))</f>
        <v>2</v>
      </c>
      <c r="D16" s="103">
        <f t="shared" si="1"/>
        <v>2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[FAC]</v>
      </c>
      <c r="H16" s="44">
        <f>VLOOKUP(A16,'Species List'!$A:$G,7,FALSE)</f>
        <v>0</v>
      </c>
      <c r="J16" s="111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0.11764705882352941</v>
      </c>
      <c r="O16" s="102">
        <f t="shared" si="3"/>
        <v>0.23529411764705882</v>
      </c>
    </row>
    <row r="17" spans="1:15" x14ac:dyDescent="0.2">
      <c r="A17" s="109" t="s">
        <v>4817</v>
      </c>
      <c r="B17" s="44" t="str">
        <f>IF(LEN(VLOOKUP(A17,'Species List'!$A:$G,2,FALSE))=0,"",VLOOKUP(A17,'Species List'!$A:$G,2,FALSE))</f>
        <v>prickly ash</v>
      </c>
      <c r="C17" s="44">
        <f>IF(LEN(VLOOKUP(A17,'Species List'!$A:$G,3,FALSE))=0,"",VLOOKUP(A17,'Species List'!$A:$G,3,FALSE))</f>
        <v>3</v>
      </c>
      <c r="D17" s="103">
        <f t="shared" si="1"/>
        <v>3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111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88">
        <f t="shared" si="0"/>
        <v>0.11764705882352941</v>
      </c>
      <c r="O17" s="102">
        <f t="shared" si="3"/>
        <v>0.3529411764705882</v>
      </c>
    </row>
    <row r="18" spans="1:15" x14ac:dyDescent="0.2">
      <c r="A18" s="110" t="s">
        <v>3656</v>
      </c>
      <c r="B18" s="44" t="str">
        <f>IF(LEN(VLOOKUP(A18,'Species List'!$A:$G,2,FALSE))=0,"",VLOOKUP(A18,'Species List'!$A:$G,2,FALSE))</f>
        <v>black cherry</v>
      </c>
      <c r="C18" s="44">
        <f>IF(LEN(VLOOKUP(A18,'Species List'!$A:$G,3,FALSE))=0,"",VLOOKUP(A18,'Species List'!$A:$G,3,FALSE))</f>
        <v>4</v>
      </c>
      <c r="D18" s="103">
        <f t="shared" si="1"/>
        <v>4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[FACU]</v>
      </c>
      <c r="H18" s="44">
        <f>VLOOKUP(A18,'Species List'!$A:$G,7,FALSE)</f>
        <v>0</v>
      </c>
      <c r="J18" s="111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88">
        <f t="shared" si="0"/>
        <v>0.11764705882352941</v>
      </c>
      <c r="O18" s="102">
        <f t="shared" si="3"/>
        <v>0.47058823529411764</v>
      </c>
    </row>
    <row r="19" spans="1:15" x14ac:dyDescent="0.2">
      <c r="A19" s="108" t="s">
        <v>3691</v>
      </c>
      <c r="B19" s="44" t="str">
        <f>IF(LEN(VLOOKUP(A19,'Species List'!$A:$G,2,FALSE))=0,"",VLOOKUP(A19,'Species List'!$A:$G,2,FALSE))</f>
        <v>northern pin oak</v>
      </c>
      <c r="C19" s="44">
        <f>IF(LEN(VLOOKUP(A19,'Species List'!$A:$G,3,FALSE))=0,"",VLOOKUP(A19,'Species List'!$A:$G,3,FALSE))</f>
        <v>5</v>
      </c>
      <c r="D19" s="103">
        <f t="shared" si="1"/>
        <v>5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/>
      </c>
      <c r="H19" s="44">
        <f>VLOOKUP(A19,'Species List'!$A:$G,7,FALSE)</f>
        <v>0</v>
      </c>
      <c r="J19" s="111" t="s">
        <v>5420</v>
      </c>
      <c r="K19" s="47" t="str">
        <f>VLOOKUP(J19,'Species List'!$H$1:$J$9,2,FALSE)</f>
        <v>&gt;0-1%</v>
      </c>
      <c r="L19" s="47">
        <f>VLOOKUP(K19,'Species List'!$I$1:$N$8,2,FALSE)</f>
        <v>0.5</v>
      </c>
      <c r="M19" s="104">
        <f t="shared" si="2"/>
        <v>0.5</v>
      </c>
      <c r="N19" s="88">
        <f t="shared" si="0"/>
        <v>1.9607843137254902E-2</v>
      </c>
      <c r="O19" s="102">
        <f t="shared" si="3"/>
        <v>9.8039215686274508E-2</v>
      </c>
    </row>
    <row r="20" spans="1:15" x14ac:dyDescent="0.2">
      <c r="A20" s="108" t="s">
        <v>3658</v>
      </c>
      <c r="B20" s="44" t="str">
        <f>IF(LEN(VLOOKUP(A20,'Species List'!$A:$G,2,FALSE))=0,"",VLOOKUP(A20,'Species List'!$A:$G,2,FALSE))</f>
        <v>chokecherry</v>
      </c>
      <c r="C20" s="44">
        <f>IF(LEN(VLOOKUP(A20,'Species List'!$A:$G,3,FALSE))=0,"",VLOOKUP(A20,'Species List'!$A:$G,3,FALSE))</f>
        <v>3</v>
      </c>
      <c r="D20" s="103">
        <f t="shared" si="1"/>
        <v>3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[FAC-]</v>
      </c>
      <c r="H20" s="44">
        <f>VLOOKUP(A20,'Species List'!$A:$G,7,FALSE)</f>
        <v>0</v>
      </c>
      <c r="J20" s="111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0.11764705882352941</v>
      </c>
      <c r="O20" s="102">
        <f t="shared" si="3"/>
        <v>0.3529411764705882</v>
      </c>
    </row>
    <row r="21" spans="1:15" x14ac:dyDescent="0.2">
      <c r="A21" s="108" t="s">
        <v>4768</v>
      </c>
      <c r="B21" s="44" t="str">
        <f>IF(LEN(VLOOKUP(A21,'Species List'!$A:$G,2,FALSE))=0,"",VLOOKUP(A21,'Species List'!$A:$G,2,FALSE))</f>
        <v>wild grape</v>
      </c>
      <c r="C21" s="44">
        <f>IF(LEN(VLOOKUP(A21,'Species List'!$A:$G,3,FALSE))=0,"",VLOOKUP(A21,'Species List'!$A:$G,3,FALSE))</f>
        <v>2</v>
      </c>
      <c r="D21" s="103">
        <f t="shared" si="1"/>
        <v>2</v>
      </c>
      <c r="E21" s="44" t="str">
        <f>IF(LEN(VLOOKUP(A21,'Species List'!$A:$G,4,FALSE))=0,"",VLOOKUP(A21,'Species List'!$A:$G,4,FALSE))</f>
        <v>C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FACW-</v>
      </c>
      <c r="H21" s="44">
        <f>VLOOKUP(A21,'Species List'!$A:$G,7,FALSE)</f>
        <v>0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0.11764705882352941</v>
      </c>
      <c r="O21" s="102">
        <f t="shared" si="3"/>
        <v>0.23529411764705882</v>
      </c>
    </row>
    <row r="22" spans="1:15" x14ac:dyDescent="0.2">
      <c r="A22" s="108" t="s">
        <v>3213</v>
      </c>
      <c r="B22" s="44" t="str">
        <f>IF(LEN(VLOOKUP(A22,'Species List'!$A:$G,2,FALSE))=0,"",VLOOKUP(A22,'Species List'!$A:$G,2,FALSE))</f>
        <v>Virginia creeper</v>
      </c>
      <c r="C22" s="44">
        <v>3</v>
      </c>
      <c r="D22" s="103">
        <f t="shared" si="1"/>
        <v>3</v>
      </c>
      <c r="E22" s="44" t="str">
        <f>IF(LEN(VLOOKUP(A22,'Species List'!$A:$G,4,FALSE))=0,"",VLOOKUP(A22,'Species List'!$A:$G,4,FALSE))</f>
        <v>C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FAC-</v>
      </c>
      <c r="H22" s="44">
        <f>VLOOKUP(A22,'Species List'!$A:$G,7,FALSE)</f>
        <v>0</v>
      </c>
      <c r="J22" s="95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2"/>
        <v>0.5</v>
      </c>
      <c r="N22" s="88">
        <f t="shared" si="0"/>
        <v>1.9607843137254902E-2</v>
      </c>
      <c r="O22" s="102">
        <f t="shared" si="3"/>
        <v>5.8823529411764705E-2</v>
      </c>
    </row>
    <row r="23" spans="1:15" x14ac:dyDescent="0.2">
      <c r="A23" s="94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1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88" t="e">
        <f t="shared" si="0"/>
        <v>#N/A</v>
      </c>
      <c r="O23" s="102" t="e">
        <f t="shared" si="3"/>
        <v>#N/A</v>
      </c>
    </row>
    <row r="24" spans="1:15" x14ac:dyDescent="0.2">
      <c r="A24" s="94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1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88" t="e">
        <f t="shared" si="0"/>
        <v>#N/A</v>
      </c>
      <c r="O24" s="102" t="e">
        <f t="shared" si="3"/>
        <v>#N/A</v>
      </c>
    </row>
    <row r="25" spans="1:15" x14ac:dyDescent="0.2">
      <c r="A25" s="94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1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88" t="e">
        <f t="shared" si="0"/>
        <v>#N/A</v>
      </c>
      <c r="O25" s="102" t="e">
        <f t="shared" si="3"/>
        <v>#N/A</v>
      </c>
    </row>
    <row r="26" spans="1:15" x14ac:dyDescent="0.2">
      <c r="A26" s="94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1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88" t="e">
        <f t="shared" si="0"/>
        <v>#N/A</v>
      </c>
      <c r="O26" s="102" t="e">
        <f t="shared" si="3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1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88" t="e">
        <f t="shared" si="0"/>
        <v>#N/A</v>
      </c>
      <c r="O27" s="102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1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88" t="e">
        <f t="shared" si="0"/>
        <v>#N/A</v>
      </c>
      <c r="O28" s="102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ref="N44:N73" si="4">L44/$L$149</f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4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4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4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4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4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4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4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4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4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4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4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4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4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4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4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4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4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4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4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4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4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4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4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4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4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4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4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4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4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ref="N74:N137" si="5">L74/$L$149</f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ref="D75:D138" si="6">VALUE(C75)</f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ref="M75:M138" si="7">VALUE(L75)</f>
        <v>#N/A</v>
      </c>
      <c r="N75" s="88" t="e">
        <f t="shared" si="5"/>
        <v>#N/A</v>
      </c>
      <c r="O75" s="102" t="e">
        <f t="shared" ref="O75:O138" si="8">D75*N75</f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6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7"/>
        <v>#N/A</v>
      </c>
      <c r="N76" s="88" t="e">
        <f t="shared" si="5"/>
        <v>#N/A</v>
      </c>
      <c r="O76" s="102" t="e">
        <f t="shared" si="8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si="6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si="7"/>
        <v>#N/A</v>
      </c>
      <c r="N77" s="88" t="e">
        <f t="shared" si="5"/>
        <v>#N/A</v>
      </c>
      <c r="O77" s="102" t="e">
        <f t="shared" si="8"/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88" t="e">
        <f t="shared" si="5"/>
        <v>#N/A</v>
      </c>
      <c r="O78" s="102" t="e">
        <f t="shared" si="8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88" t="e">
        <f t="shared" si="5"/>
        <v>#N/A</v>
      </c>
      <c r="O79" s="102" t="e">
        <f t="shared" si="8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88" t="e">
        <f t="shared" si="5"/>
        <v>#N/A</v>
      </c>
      <c r="O80" s="102" t="e">
        <f t="shared" si="8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88" t="e">
        <f t="shared" si="5"/>
        <v>#N/A</v>
      </c>
      <c r="O81" s="102" t="e">
        <f t="shared" si="8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88" t="e">
        <f t="shared" si="5"/>
        <v>#N/A</v>
      </c>
      <c r="O82" s="102" t="e">
        <f t="shared" si="8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88" t="e">
        <f t="shared" si="5"/>
        <v>#N/A</v>
      </c>
      <c r="O83" s="102" t="e">
        <f t="shared" si="8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88" t="e">
        <f t="shared" si="5"/>
        <v>#N/A</v>
      </c>
      <c r="O84" s="102" t="e">
        <f t="shared" si="8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88" t="e">
        <f t="shared" si="5"/>
        <v>#N/A</v>
      </c>
      <c r="O85" s="102" t="e">
        <f t="shared" si="8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88" t="e">
        <f t="shared" si="5"/>
        <v>#N/A</v>
      </c>
      <c r="O86" s="102" t="e">
        <f t="shared" si="8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88" t="e">
        <f t="shared" si="5"/>
        <v>#N/A</v>
      </c>
      <c r="O87" s="102" t="e">
        <f t="shared" si="8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88" t="e">
        <f t="shared" si="5"/>
        <v>#N/A</v>
      </c>
      <c r="O88" s="102" t="e">
        <f t="shared" si="8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88" t="e">
        <f t="shared" si="5"/>
        <v>#N/A</v>
      </c>
      <c r="O89" s="102" t="e">
        <f t="shared" si="8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88" t="e">
        <f t="shared" si="5"/>
        <v>#N/A</v>
      </c>
      <c r="O90" s="102" t="e">
        <f t="shared" si="8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88" t="e">
        <f t="shared" si="5"/>
        <v>#N/A</v>
      </c>
      <c r="O91" s="102" t="e">
        <f t="shared" si="8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88" t="e">
        <f t="shared" si="5"/>
        <v>#N/A</v>
      </c>
      <c r="O92" s="102" t="e">
        <f t="shared" si="8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88" t="e">
        <f t="shared" si="5"/>
        <v>#N/A</v>
      </c>
      <c r="O93" s="102" t="e">
        <f t="shared" si="8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88" t="e">
        <f t="shared" si="5"/>
        <v>#N/A</v>
      </c>
      <c r="O94" s="102" t="e">
        <f t="shared" si="8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88" t="e">
        <f t="shared" si="5"/>
        <v>#N/A</v>
      </c>
      <c r="O95" s="102" t="e">
        <f t="shared" si="8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88" t="e">
        <f t="shared" si="5"/>
        <v>#N/A</v>
      </c>
      <c r="O96" s="102" t="e">
        <f t="shared" si="8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88" t="e">
        <f t="shared" si="5"/>
        <v>#N/A</v>
      </c>
      <c r="O97" s="102" t="e">
        <f t="shared" si="8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88" t="e">
        <f t="shared" si="5"/>
        <v>#N/A</v>
      </c>
      <c r="O98" s="102" t="e">
        <f t="shared" si="8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88" t="e">
        <f t="shared" si="5"/>
        <v>#N/A</v>
      </c>
      <c r="O99" s="102" t="e">
        <f t="shared" si="8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88" t="e">
        <f t="shared" si="5"/>
        <v>#N/A</v>
      </c>
      <c r="O100" s="102" t="e">
        <f t="shared" si="8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88" t="e">
        <f t="shared" si="5"/>
        <v>#N/A</v>
      </c>
      <c r="O101" s="102" t="e">
        <f t="shared" si="8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88" t="e">
        <f t="shared" si="5"/>
        <v>#N/A</v>
      </c>
      <c r="O102" s="102" t="e">
        <f t="shared" si="8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88" t="e">
        <f t="shared" si="5"/>
        <v>#N/A</v>
      </c>
      <c r="O103" s="102" t="e">
        <f t="shared" si="8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88" t="e">
        <f t="shared" si="5"/>
        <v>#N/A</v>
      </c>
      <c r="O104" s="102" t="e">
        <f t="shared" si="8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88" t="e">
        <f t="shared" si="5"/>
        <v>#N/A</v>
      </c>
      <c r="O105" s="102" t="e">
        <f t="shared" si="8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88" t="e">
        <f t="shared" si="5"/>
        <v>#N/A</v>
      </c>
      <c r="O106" s="102" t="e">
        <f t="shared" si="8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88" t="e">
        <f t="shared" si="5"/>
        <v>#N/A</v>
      </c>
      <c r="O107" s="102" t="e">
        <f t="shared" si="8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88" t="e">
        <f t="shared" si="5"/>
        <v>#N/A</v>
      </c>
      <c r="O108" s="102" t="e">
        <f t="shared" si="8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88" t="e">
        <f t="shared" si="5"/>
        <v>#N/A</v>
      </c>
      <c r="O109" s="102" t="e">
        <f t="shared" si="8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88" t="e">
        <f t="shared" si="5"/>
        <v>#N/A</v>
      </c>
      <c r="O110" s="102" t="e">
        <f t="shared" si="8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88" t="e">
        <f t="shared" si="5"/>
        <v>#N/A</v>
      </c>
      <c r="O111" s="102" t="e">
        <f t="shared" si="8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88" t="e">
        <f t="shared" si="5"/>
        <v>#N/A</v>
      </c>
      <c r="O112" s="102" t="e">
        <f t="shared" si="8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88" t="e">
        <f t="shared" si="5"/>
        <v>#N/A</v>
      </c>
      <c r="O113" s="102" t="e">
        <f t="shared" si="8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88" t="e">
        <f t="shared" si="5"/>
        <v>#N/A</v>
      </c>
      <c r="O114" s="102" t="e">
        <f t="shared" si="8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88" t="e">
        <f t="shared" si="5"/>
        <v>#N/A</v>
      </c>
      <c r="O115" s="102" t="e">
        <f t="shared" si="8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88" t="e">
        <f t="shared" si="5"/>
        <v>#N/A</v>
      </c>
      <c r="O116" s="102" t="e">
        <f t="shared" si="8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88" t="e">
        <f t="shared" si="5"/>
        <v>#N/A</v>
      </c>
      <c r="O117" s="102" t="e">
        <f t="shared" si="8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88" t="e">
        <f t="shared" si="5"/>
        <v>#N/A</v>
      </c>
      <c r="O118" s="102" t="e">
        <f t="shared" si="8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88" t="e">
        <f t="shared" si="5"/>
        <v>#N/A</v>
      </c>
      <c r="O119" s="102" t="e">
        <f t="shared" si="8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88" t="e">
        <f t="shared" si="5"/>
        <v>#N/A</v>
      </c>
      <c r="O120" s="102" t="e">
        <f t="shared" si="8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88" t="e">
        <f t="shared" si="5"/>
        <v>#N/A</v>
      </c>
      <c r="O121" s="102" t="e">
        <f t="shared" si="8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88" t="e">
        <f t="shared" si="5"/>
        <v>#N/A</v>
      </c>
      <c r="O122" s="102" t="e">
        <f t="shared" si="8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88" t="e">
        <f t="shared" si="5"/>
        <v>#N/A</v>
      </c>
      <c r="O123" s="102" t="e">
        <f t="shared" si="8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88" t="e">
        <f t="shared" si="5"/>
        <v>#N/A</v>
      </c>
      <c r="O124" s="102" t="e">
        <f t="shared" si="8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88" t="e">
        <f t="shared" si="5"/>
        <v>#N/A</v>
      </c>
      <c r="O125" s="102" t="e">
        <f t="shared" si="8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88" t="e">
        <f t="shared" si="5"/>
        <v>#N/A</v>
      </c>
      <c r="O126" s="102" t="e">
        <f t="shared" si="8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88" t="e">
        <f t="shared" si="5"/>
        <v>#N/A</v>
      </c>
      <c r="O127" s="102" t="e">
        <f t="shared" si="8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88" t="e">
        <f t="shared" si="5"/>
        <v>#N/A</v>
      </c>
      <c r="O128" s="102" t="e">
        <f t="shared" si="8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88" t="e">
        <f t="shared" si="5"/>
        <v>#N/A</v>
      </c>
      <c r="O129" s="102" t="e">
        <f t="shared" si="8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88" t="e">
        <f t="shared" si="5"/>
        <v>#N/A</v>
      </c>
      <c r="O130" s="102" t="e">
        <f t="shared" si="8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88" t="e">
        <f t="shared" si="5"/>
        <v>#N/A</v>
      </c>
      <c r="O131" s="102" t="e">
        <f t="shared" si="8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88" t="e">
        <f t="shared" si="5"/>
        <v>#N/A</v>
      </c>
      <c r="O132" s="102" t="e">
        <f t="shared" si="8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88" t="e">
        <f t="shared" si="5"/>
        <v>#N/A</v>
      </c>
      <c r="O133" s="102" t="e">
        <f t="shared" si="8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88" t="e">
        <f t="shared" si="5"/>
        <v>#N/A</v>
      </c>
      <c r="O134" s="102" t="e">
        <f t="shared" si="8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88" t="e">
        <f t="shared" si="5"/>
        <v>#N/A</v>
      </c>
      <c r="O135" s="102" t="e">
        <f t="shared" si="8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88" t="e">
        <f t="shared" si="5"/>
        <v>#N/A</v>
      </c>
      <c r="O136" s="102" t="e">
        <f t="shared" si="8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88" t="e">
        <f t="shared" si="5"/>
        <v>#N/A</v>
      </c>
      <c r="O137" s="102" t="e">
        <f t="shared" si="8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88" t="e">
        <f t="shared" ref="N138:N148" si="9">L138/$L$149</f>
        <v>#N/A</v>
      </c>
      <c r="O138" s="102" t="e">
        <f t="shared" si="8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ref="D139:D148" si="10">VALUE(C139)</f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ref="M139:M148" si="11">VALUE(L139)</f>
        <v>#N/A</v>
      </c>
      <c r="N139" s="88" t="e">
        <f t="shared" si="9"/>
        <v>#N/A</v>
      </c>
      <c r="O139" s="102" t="e">
        <f t="shared" ref="O139:O148" si="12">D139*N139</f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10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11"/>
        <v>#N/A</v>
      </c>
      <c r="N140" s="88" t="e">
        <f t="shared" si="9"/>
        <v>#N/A</v>
      </c>
      <c r="O140" s="102" t="e">
        <f t="shared" si="12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si="10"/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si="11"/>
        <v>#N/A</v>
      </c>
      <c r="N141" s="88" t="e">
        <f t="shared" si="9"/>
        <v>#N/A</v>
      </c>
      <c r="O141" s="102" t="e">
        <f t="shared" si="12"/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88" t="e">
        <f t="shared" si="9"/>
        <v>#N/A</v>
      </c>
      <c r="O142" s="102" t="e">
        <f t="shared" si="12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88" t="e">
        <f t="shared" si="9"/>
        <v>#N/A</v>
      </c>
      <c r="O143" s="102" t="e">
        <f t="shared" si="12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88" t="e">
        <f t="shared" si="9"/>
        <v>#N/A</v>
      </c>
      <c r="O144" s="102" t="e">
        <f t="shared" si="12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88" t="e">
        <f t="shared" si="9"/>
        <v>#N/A</v>
      </c>
      <c r="O145" s="102" t="e">
        <f t="shared" si="12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88" t="e">
        <f t="shared" si="9"/>
        <v>#N/A</v>
      </c>
      <c r="O146" s="102" t="e">
        <f t="shared" si="12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88" t="e">
        <f t="shared" si="9"/>
        <v>#N/A</v>
      </c>
      <c r="O147" s="102" t="e">
        <f t="shared" si="12"/>
        <v>#N/A</v>
      </c>
    </row>
    <row r="148" spans="1:15" ht="13.2" thickBot="1" x14ac:dyDescent="0.25">
      <c r="A148" s="94"/>
      <c r="B148" s="62" t="e">
        <f>IF(LEN(VLOOKUP(A148,'Species List'!$A:$G,2,FALSE))=0,"",VLOOKUP(A148,'Species List'!$A:$G,2,FALSE))</f>
        <v>#N/A</v>
      </c>
      <c r="C148" s="62" t="e">
        <f>IF(LEN(VLOOKUP(A148,'Species List'!$A:$G,3,FALSE))=0,"",VLOOKUP(A148,'Species List'!$A:$G,3,FALSE))</f>
        <v>#N/A</v>
      </c>
      <c r="D148" s="103" t="e">
        <f t="shared" si="10"/>
        <v>#N/A</v>
      </c>
      <c r="E148" s="62" t="e">
        <f>IF(LEN(VLOOKUP(A148,'Species List'!$A:$G,4,FALSE))=0,"",VLOOKUP(A148,'Species List'!$A:$G,4,FALSE))</f>
        <v>#N/A</v>
      </c>
      <c r="F148" s="62" t="e">
        <f>IF(LEN(VLOOKUP(A148,'Species List'!$A:$G,5,FALSE))=0,"",VLOOKUP(A148,'Species List'!$A:$G,5,FALSE))</f>
        <v>#N/A</v>
      </c>
      <c r="G148" s="62" t="e">
        <f>IF(LEN(VLOOKUP(A148,'Species List'!$A:$G,6,FALSE))=0,"",VLOOKUP(A148,'Species List'!$A:$G,6,FALSE))</f>
        <v>#N/A</v>
      </c>
      <c r="H148" s="62" t="e">
        <f>VLOOKUP(A148,'Species List'!$A:$G,7,FALSE)</f>
        <v>#N/A</v>
      </c>
      <c r="I148" s="45"/>
      <c r="J148" s="96"/>
      <c r="K148" s="64" t="e">
        <f>VLOOKUP(J148,'Species List'!$H$1:$J$9,2,FALSE)</f>
        <v>#N/A</v>
      </c>
      <c r="L148" s="64" t="e">
        <f>VLOOKUP(K148,'Species List'!$I$1:$N$8,2,FALSE)</f>
        <v>#N/A</v>
      </c>
      <c r="M148" s="104" t="e">
        <f t="shared" si="11"/>
        <v>#N/A</v>
      </c>
      <c r="N148" s="45" t="e">
        <f t="shared" si="9"/>
        <v>#N/A</v>
      </c>
      <c r="O148" s="102" t="e">
        <f t="shared" si="12"/>
        <v>#N/A</v>
      </c>
    </row>
    <row r="149" spans="1:15" ht="13.8" thickTop="1" thickBot="1" x14ac:dyDescent="0.25">
      <c r="I149" s="140" t="s">
        <v>5387</v>
      </c>
      <c r="J149" s="141"/>
      <c r="K149" s="142"/>
      <c r="L149" s="63">
        <f>SUMIF(L10:L148,"&gt;=0")</f>
        <v>25.5</v>
      </c>
      <c r="M149" s="81"/>
    </row>
  </sheetData>
  <protectedRanges>
    <protectedRange password="EBBA" sqref="B9" name="Range1"/>
    <protectedRange password="EBBA" sqref="K10:K148" name="Range2"/>
  </protectedRanges>
  <dataConsolidate/>
  <mergeCells count="3">
    <mergeCell ref="A1:O1"/>
    <mergeCell ref="B7:E7"/>
    <mergeCell ref="I149:K14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J25:J148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I10:I148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A13:A148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28" workbookViewId="0">
      <selection activeCell="F28" sqref="F28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9"/>
      <c r="C7" s="139"/>
      <c r="D7" s="139"/>
      <c r="E7" s="139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2890</v>
      </c>
      <c r="B12" s="44" t="str">
        <f>IF(LEN(VLOOKUP(A12,'Species List'!$A:$G,2,FALSE))=0,"",VLOOKUP(A12,'Species List'!$A:$G,2,FALSE))</f>
        <v>white sweet clover</v>
      </c>
      <c r="C12" s="44">
        <v>0</v>
      </c>
      <c r="D12" s="103">
        <f>VALUE(C12)</f>
        <v>0</v>
      </c>
      <c r="E12" s="44" t="str">
        <f>IF(LEN(VLOOKUP(A12,'Species List'!$A:$G,4,FALSE))=0,"",VLOOKUP(A12,'Species List'!$A:$G,4,FALSE))</f>
        <v>H</v>
      </c>
      <c r="F12" s="44" t="s">
        <v>152</v>
      </c>
      <c r="G12" s="44" t="str">
        <f>IF(LEN(VLOOKUP(A12,'Species List'!$A:$G,6,FALSE))=0,"",VLOOKUP(A12,'Species List'!$A:$G,6,FALSE))</f>
        <v/>
      </c>
      <c r="H12" s="44">
        <f>VLOOKUP(A12,'Species List'!$A:$G,7,FALSE)</f>
        <v>0</v>
      </c>
      <c r="J12" s="111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>L12/$L$151</f>
        <v>0.16949152542372881</v>
      </c>
      <c r="O12" s="88">
        <f>D12*N12</f>
        <v>0</v>
      </c>
    </row>
    <row r="13" spans="1:15" x14ac:dyDescent="0.2">
      <c r="A13" s="108" t="s">
        <v>557</v>
      </c>
      <c r="B13" s="44" t="str">
        <f>IF(LEN(VLOOKUP(A13,'Species List'!$A:$G,2,FALSE))=0,"",VLOOKUP(A13,'Species List'!$A:$G,2,FALSE))</f>
        <v>whorled milkweed</v>
      </c>
      <c r="C13" s="44">
        <f>IF(LEN(VLOOKUP(A13,'Species List'!$A:$G,3,FALSE))=0,"",VLOOKUP(A13,'Species List'!$A:$G,3,FALSE))</f>
        <v>2</v>
      </c>
      <c r="D13" s="103">
        <f t="shared" ref="D13:D76" si="0">VALUE(C13)</f>
        <v>2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1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3.3898305084745763E-2</v>
      </c>
      <c r="O13" s="102">
        <f t="shared" ref="O13:O76" si="3">D13*N13</f>
        <v>6.7796610169491525E-2</v>
      </c>
    </row>
    <row r="14" spans="1:15" x14ac:dyDescent="0.2">
      <c r="A14" s="108" t="s">
        <v>4518</v>
      </c>
      <c r="B14" s="44" t="str">
        <f>IF(LEN(VLOOKUP(A14,'Species List'!$A:$G,2,FALSE))=0,"",VLOOKUP(A14,'Species List'!$A:$G,2,FALSE))</f>
        <v>western poison ivy</v>
      </c>
      <c r="C14" s="44">
        <f>IF(LEN(VLOOKUP(A14,'Species List'!$A:$G,3,FALSE))=0,"",VLOOKUP(A14,'Species List'!$A:$G,3,FALSE))</f>
        <v>1</v>
      </c>
      <c r="D14" s="103">
        <f t="shared" si="0"/>
        <v>1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</v>
      </c>
      <c r="H14" s="44">
        <f>VLOOKUP(A14,'Species List'!$A:$G,7,FALSE)</f>
        <v>0</v>
      </c>
      <c r="J14" s="111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3.3898305084745763E-2</v>
      </c>
      <c r="O14" s="102">
        <f t="shared" si="3"/>
        <v>3.3898305084745763E-2</v>
      </c>
    </row>
    <row r="15" spans="1:15" x14ac:dyDescent="0.2">
      <c r="A15" s="108" t="s">
        <v>4232</v>
      </c>
      <c r="B15" s="44" t="str">
        <f>IF(LEN(VLOOKUP(A15,'Species List'!$A:$G,2,FALSE))=0,"",VLOOKUP(A15,'Species List'!$A:$G,2,FALSE))</f>
        <v>gray goldenrod</v>
      </c>
      <c r="C15" s="44">
        <f>IF(LEN(VLOOKUP(A15,'Species List'!$A:$G,3,FALSE))=0,"",VLOOKUP(A15,'Species List'!$A:$G,3,FALSE))</f>
        <v>4</v>
      </c>
      <c r="D15" s="103">
        <f t="shared" si="0"/>
        <v>4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1">
        <v>1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3.3898305084745763E-2</v>
      </c>
      <c r="O15" s="102">
        <f t="shared" si="3"/>
        <v>0.13559322033898305</v>
      </c>
    </row>
    <row r="16" spans="1:15" x14ac:dyDescent="0.2">
      <c r="A16" s="108" t="s">
        <v>2712</v>
      </c>
      <c r="B16" s="44" t="str">
        <f>IF(LEN(VLOOKUP(A16,'Species List'!$A:$G,2,FALSE))=0,"",VLOOKUP(A16,'Species List'!$A:$G,2,FALSE))</f>
        <v>hoary puccoon</v>
      </c>
      <c r="C16" s="44">
        <f>IF(LEN(VLOOKUP(A16,'Species List'!$A:$G,3,FALSE))=0,"",VLOOKUP(A16,'Species List'!$A:$G,3,FALSE))</f>
        <v>10</v>
      </c>
      <c r="D16" s="103">
        <f t="shared" si="0"/>
        <v>10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1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3.3898305084745763E-2</v>
      </c>
      <c r="O16" s="102">
        <f t="shared" si="3"/>
        <v>0.33898305084745761</v>
      </c>
    </row>
    <row r="17" spans="1:15" x14ac:dyDescent="0.2">
      <c r="A17" s="108" t="s">
        <v>4434</v>
      </c>
      <c r="B17" s="44" t="str">
        <f>IF(LEN(VLOOKUP(A17,'Species List'!$A:$G,2,FALSE))=0,"",VLOOKUP(A17,'Species List'!$A:$G,2,FALSE))</f>
        <v>skyblue aster</v>
      </c>
      <c r="C17" s="44">
        <f>IF(LEN(VLOOKUP(A17,'Species List'!$A:$G,3,FALSE))=0,"",VLOOKUP(A17,'Species List'!$A:$G,3,FALSE))</f>
        <v>5</v>
      </c>
      <c r="D17" s="103">
        <f t="shared" si="0"/>
        <v>5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111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3.3898305084745763E-2</v>
      </c>
      <c r="O17" s="102">
        <f t="shared" si="3"/>
        <v>0.16949152542372881</v>
      </c>
    </row>
    <row r="18" spans="1:15" x14ac:dyDescent="0.2">
      <c r="A18" s="108" t="s">
        <v>4746</v>
      </c>
      <c r="B18" s="44" t="str">
        <f>IF(LEN(VLOOKUP(A18,'Species List'!$A:$G,2,FALSE))=0,"",VLOOKUP(A18,'Species List'!$A:$G,2,FALSE))</f>
        <v>bearded birdfoot violet</v>
      </c>
      <c r="C18" s="44">
        <f>IF(LEN(VLOOKUP(A18,'Species List'!$A:$G,3,FALSE))=0,"",VLOOKUP(A18,'Species List'!$A:$G,3,FALSE))</f>
        <v>8</v>
      </c>
      <c r="D18" s="103">
        <f t="shared" si="0"/>
        <v>8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FACU-</v>
      </c>
      <c r="H18" s="44">
        <f>VLOOKUP(A18,'Species List'!$A:$G,7,FALSE)</f>
        <v>0</v>
      </c>
      <c r="J18" s="111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3.3898305084745763E-2</v>
      </c>
      <c r="O18" s="102">
        <f t="shared" si="3"/>
        <v>0.2711864406779661</v>
      </c>
    </row>
    <row r="19" spans="1:15" x14ac:dyDescent="0.2">
      <c r="A19" s="108" t="s">
        <v>388</v>
      </c>
      <c r="B19" s="44" t="str">
        <f>IF(LEN(VLOOKUP(A19,'Species List'!$A:$G,2,FALSE))=0,"",VLOOKUP(A19,'Species List'!$A:$G,2,FALSE))</f>
        <v>long-headed thimbleweed</v>
      </c>
      <c r="C19" s="44">
        <f>IF(LEN(VLOOKUP(A19,'Species List'!$A:$G,3,FALSE))=0,"",VLOOKUP(A19,'Species List'!$A:$G,3,FALSE))</f>
        <v>6</v>
      </c>
      <c r="D19" s="103">
        <f t="shared" si="0"/>
        <v>6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/>
      </c>
      <c r="H19" s="44">
        <f>VLOOKUP(A19,'Species List'!$A:$G,7,FALSE)</f>
        <v>0</v>
      </c>
      <c r="J19" s="111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3.3898305084745763E-2</v>
      </c>
      <c r="O19" s="102">
        <f t="shared" si="3"/>
        <v>0.20338983050847459</v>
      </c>
    </row>
    <row r="20" spans="1:15" x14ac:dyDescent="0.2">
      <c r="A20" s="108" t="s">
        <v>3753</v>
      </c>
      <c r="B20" s="44" t="str">
        <f>IF(LEN(VLOOKUP(A20,'Species List'!$A:$G,2,FALSE))=0,"",VLOOKUP(A20,'Species List'!$A:$G,2,FALSE))</f>
        <v>gray-headed coneflower</v>
      </c>
      <c r="C20" s="44">
        <f>IF(LEN(VLOOKUP(A20,'Species List'!$A:$G,3,FALSE))=0,"",VLOOKUP(A20,'Species List'!$A:$G,3,FALSE))</f>
        <v>4</v>
      </c>
      <c r="D20" s="103">
        <f t="shared" si="0"/>
        <v>4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/>
      </c>
      <c r="H20" s="44">
        <f>VLOOKUP(A20,'Species List'!$A:$G,7,FALSE)</f>
        <v>0</v>
      </c>
      <c r="J20" s="111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1"/>
        <v>0.5</v>
      </c>
      <c r="N20" s="102">
        <f t="shared" si="2"/>
        <v>5.6497175141242938E-3</v>
      </c>
      <c r="O20" s="102">
        <f t="shared" si="3"/>
        <v>2.2598870056497175E-2</v>
      </c>
    </row>
    <row r="21" spans="1:15" x14ac:dyDescent="0.2">
      <c r="A21" s="108" t="s">
        <v>2947</v>
      </c>
      <c r="B21" s="44" t="str">
        <f>IF(LEN(VLOOKUP(A21,'Species List'!$A:$G,2,FALSE))=0,"",VLOOKUP(A21,'Species List'!$A:$G,2,FALSE))</f>
        <v>wild bergamot</v>
      </c>
      <c r="C21" s="44">
        <f>IF(LEN(VLOOKUP(A21,'Species List'!$A:$G,3,FALSE))=0,"",VLOOKUP(A21,'Species List'!$A:$G,3,FALSE))</f>
        <v>3</v>
      </c>
      <c r="D21" s="103">
        <f t="shared" si="0"/>
        <v>3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111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3.3898305084745763E-2</v>
      </c>
      <c r="O21" s="102">
        <f t="shared" si="3"/>
        <v>0.10169491525423729</v>
      </c>
    </row>
    <row r="22" spans="1:15" x14ac:dyDescent="0.2">
      <c r="A22" s="108" t="s">
        <v>4222</v>
      </c>
      <c r="B22" s="44" t="str">
        <f>IF(LEN(VLOOKUP(A22,'Species List'!$A:$G,2,FALSE))=0,"",VLOOKUP(A22,'Species List'!$A:$G,2,FALSE))</f>
        <v>giant goldenrod</v>
      </c>
      <c r="C22" s="44">
        <f>IF(LEN(VLOOKUP(A22,'Species List'!$A:$G,3,FALSE))=0,"",VLOOKUP(A22,'Species List'!$A:$G,3,FALSE))</f>
        <v>3</v>
      </c>
      <c r="D22" s="103">
        <f t="shared" si="0"/>
        <v>3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</v>
      </c>
      <c r="H22" s="44">
        <f>VLOOKUP(A22,'Species List'!$A:$G,7,FALSE)</f>
        <v>0</v>
      </c>
      <c r="J22" s="114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3.3898305084745763E-2</v>
      </c>
      <c r="O22" s="102">
        <f t="shared" si="3"/>
        <v>0.10169491525423729</v>
      </c>
    </row>
    <row r="23" spans="1:15" x14ac:dyDescent="0.2">
      <c r="A23" s="108" t="s">
        <v>2210</v>
      </c>
      <c r="B23" s="44" t="str">
        <f>IF(LEN(VLOOKUP(A23,'Species List'!$A:$G,2,FALSE))=0,"",VLOOKUP(A23,'Species List'!$A:$G,2,FALSE))</f>
        <v>yellowish gentian</v>
      </c>
      <c r="C23" s="44">
        <f>IF(LEN(VLOOKUP(A23,'Species List'!$A:$G,3,FALSE))=0,"",VLOOKUP(A23,'Species List'!$A:$G,3,FALSE))</f>
        <v>7</v>
      </c>
      <c r="D23" s="103">
        <f t="shared" si="0"/>
        <v>7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I23" s="88" t="s">
        <v>5389</v>
      </c>
      <c r="J23" s="111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3.3898305084745763E-2</v>
      </c>
      <c r="O23" s="102">
        <f t="shared" si="3"/>
        <v>0.23728813559322035</v>
      </c>
    </row>
    <row r="24" spans="1:15" x14ac:dyDescent="0.2">
      <c r="A24" s="108" t="s">
        <v>3393</v>
      </c>
      <c r="B24" s="44" t="str">
        <f>IF(LEN(VLOOKUP(A24,'Species List'!$A:$G,2,FALSE))=0,"",VLOOKUP(A24,'Species List'!$A:$G,2,FALSE))</f>
        <v>Rugel's plantain</v>
      </c>
      <c r="C24" s="44">
        <f>IF(LEN(VLOOKUP(A24,'Species List'!$A:$G,3,FALSE))=0,"",VLOOKUP(A24,'Species List'!$A:$G,3,FALSE))</f>
        <v>0</v>
      </c>
      <c r="D24" s="103">
        <f t="shared" si="0"/>
        <v>0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[FAC]</v>
      </c>
      <c r="H24" s="44">
        <f>VLOOKUP(A24,'Species List'!$A:$G,7,FALSE)</f>
        <v>0</v>
      </c>
      <c r="J24" s="111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1"/>
        <v>0.5</v>
      </c>
      <c r="N24" s="102">
        <f t="shared" si="2"/>
        <v>5.6497175141242938E-3</v>
      </c>
      <c r="O24" s="102">
        <f t="shared" si="3"/>
        <v>0</v>
      </c>
    </row>
    <row r="25" spans="1:15" x14ac:dyDescent="0.2">
      <c r="A25" s="108" t="s">
        <v>444</v>
      </c>
      <c r="B25" s="44" t="str">
        <f>IF(LEN(VLOOKUP(A25,'Species List'!$A:$G,2,FALSE))=0,"",VLOOKUP(A25,'Species List'!$A:$G,2,FALSE))</f>
        <v>columbine</v>
      </c>
      <c r="C25" s="44">
        <f>IF(LEN(VLOOKUP(A25,'Species List'!$A:$G,3,FALSE))=0,"",VLOOKUP(A25,'Species List'!$A:$G,3,FALSE))</f>
        <v>4</v>
      </c>
      <c r="D25" s="103">
        <f t="shared" si="0"/>
        <v>4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FAC-</v>
      </c>
      <c r="H25" s="44">
        <f>VLOOKUP(A25,'Species List'!$A:$G,7,FALSE)</f>
        <v>0</v>
      </c>
      <c r="J25" s="111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3.3898305084745763E-2</v>
      </c>
      <c r="O25" s="102">
        <f t="shared" si="3"/>
        <v>0.13559322033898305</v>
      </c>
    </row>
    <row r="26" spans="1:15" x14ac:dyDescent="0.2">
      <c r="A26" s="108" t="s">
        <v>4469</v>
      </c>
      <c r="B26" s="44" t="str">
        <f>IF(LEN(VLOOKUP(A26,'Species List'!$A:$G,2,FALSE))=0,"",VLOOKUP(A26,'Species List'!$A:$G,2,FALSE))</f>
        <v>common dandelion</v>
      </c>
      <c r="C26" s="44">
        <f>IF(LEN(VLOOKUP(A26,'Species List'!$A:$G,3,FALSE))=0,"",VLOOKUP(A26,'Species List'!$A:$G,3,FALSE))</f>
        <v>0</v>
      </c>
      <c r="D26" s="103">
        <f t="shared" si="0"/>
        <v>0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Introduced</v>
      </c>
      <c r="G26" s="44" t="str">
        <f>IF(LEN(VLOOKUP(A26,'Species List'!$A:$G,6,FALSE))=0,"",VLOOKUP(A26,'Species List'!$A:$G,6,FALSE))</f>
        <v>FACU</v>
      </c>
      <c r="H26" s="44">
        <f>VLOOKUP(A26,'Species List'!$A:$G,7,FALSE)</f>
        <v>0</v>
      </c>
      <c r="J26" s="111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3.3898305084745763E-2</v>
      </c>
      <c r="O26" s="102">
        <f t="shared" si="3"/>
        <v>0</v>
      </c>
    </row>
    <row r="27" spans="1:15" x14ac:dyDescent="0.2">
      <c r="A27" s="108" t="s">
        <v>4867</v>
      </c>
      <c r="B27" s="44" t="str">
        <f>IF(LEN(VLOOKUP(A27,'Species List'!$A:$G,2,FALSE))=0,"",VLOOKUP(A27,'Species List'!$A:$G,2,FALSE))</f>
        <v/>
      </c>
      <c r="C27" s="44">
        <v>2</v>
      </c>
      <c r="D27" s="103">
        <f t="shared" si="0"/>
        <v>2</v>
      </c>
      <c r="E27" s="44" t="str">
        <f>IF(LEN(VLOOKUP(A27,'Species List'!$A:$G,4,FALSE))=0,"",VLOOKUP(A27,'Species List'!$A:$G,4,FALSE))</f>
        <v/>
      </c>
      <c r="F27" s="44" t="s">
        <v>147</v>
      </c>
      <c r="G27" s="44" t="str">
        <f>IF(LEN(VLOOKUP(A27,'Species List'!$A:$G,6,FALSE))=0,"",VLOOKUP(A27,'Species List'!$A:$G,6,FALSE))</f>
        <v/>
      </c>
      <c r="H27" s="44">
        <f>VLOOKUP(A27,'Species List'!$A:$G,7,FALSE)</f>
        <v>0</v>
      </c>
      <c r="J27" s="111">
        <v>1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3.3898305084745763E-2</v>
      </c>
      <c r="O27" s="102">
        <f t="shared" si="3"/>
        <v>6.7796610169491525E-2</v>
      </c>
    </row>
    <row r="28" spans="1:15" x14ac:dyDescent="0.2">
      <c r="A28" s="108" t="s">
        <v>3151</v>
      </c>
      <c r="B28" s="44" t="str">
        <f>IF(LEN(VLOOKUP(A28,'Species List'!$A:$G,2,FALSE))=0,"",VLOOKUP(A28,'Species List'!$A:$G,2,FALSE))</f>
        <v>yellow wood sorrel</v>
      </c>
      <c r="C28" s="44">
        <f>IF(LEN(VLOOKUP(A28,'Species List'!$A:$G,3,FALSE))=0,"",VLOOKUP(A28,'Species List'!$A:$G,3,FALSE))</f>
        <v>0</v>
      </c>
      <c r="D28" s="103">
        <f t="shared" si="0"/>
        <v>0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[FACU]</v>
      </c>
      <c r="H28" s="44">
        <f>VLOOKUP(A28,'Species List'!$A:$G,7,FALSE)</f>
        <v>0</v>
      </c>
      <c r="J28" s="111" t="s">
        <v>5420</v>
      </c>
      <c r="K28" s="47" t="str">
        <f>VLOOKUP(J28,'Species List'!$H$1:$J$9,2,FALSE)</f>
        <v>&gt;0-1%</v>
      </c>
      <c r="L28" s="47">
        <f>VLOOKUP(K28,'Species List'!$I$1:$N$8,2,FALSE)</f>
        <v>0.5</v>
      </c>
      <c r="M28" s="104">
        <f t="shared" si="1"/>
        <v>0.5</v>
      </c>
      <c r="N28" s="102">
        <f t="shared" si="2"/>
        <v>5.6497175141242938E-3</v>
      </c>
      <c r="O28" s="102">
        <f t="shared" si="3"/>
        <v>0</v>
      </c>
    </row>
    <row r="29" spans="1:15" x14ac:dyDescent="0.2">
      <c r="A29" s="108" t="s">
        <v>5370</v>
      </c>
      <c r="B29" s="44" t="str">
        <f>IF(LEN(VLOOKUP(A29,'Species List'!$A:$G,2,FALSE))=0,"",VLOOKUP(A29,'Species List'!$A:$G,2,FALSE))</f>
        <v/>
      </c>
      <c r="C29" s="44">
        <v>4</v>
      </c>
      <c r="D29" s="103">
        <f>VALUE(C29)</f>
        <v>4</v>
      </c>
      <c r="E29" s="44" t="str">
        <f>IF(LEN(VLOOKUP(A29,'Species List'!$A:$G,4,FALSE))=0,"",VLOOKUP(A29,'Species List'!$A:$G,4,FALSE))</f>
        <v/>
      </c>
      <c r="F29" s="44" t="s">
        <v>147</v>
      </c>
      <c r="G29" s="44" t="str">
        <f>IF(LEN(VLOOKUP(A29,'Species List'!$A:$G,6,FALSE))=0,"",VLOOKUP(A29,'Species List'!$A:$G,6,FALSE))</f>
        <v/>
      </c>
      <c r="H29" s="44">
        <f>VLOOKUP(A29,'Species List'!$A:$G,7,FALSE)</f>
        <v>0</v>
      </c>
      <c r="J29" s="111" t="s">
        <v>5420</v>
      </c>
      <c r="K29" s="47" t="str">
        <f>VLOOKUP(J29,'Species List'!$H$1:$J$9,2,FALSE)</f>
        <v>&gt;0-1%</v>
      </c>
      <c r="L29" s="47">
        <f>VLOOKUP(K29,'Species List'!$I$1:$N$8,2,FALSE)</f>
        <v>0.5</v>
      </c>
      <c r="M29" s="104">
        <f t="shared" si="1"/>
        <v>0.5</v>
      </c>
      <c r="N29" s="102">
        <f t="shared" si="2"/>
        <v>5.6497175141242938E-3</v>
      </c>
      <c r="O29" s="102">
        <f t="shared" si="3"/>
        <v>2.2598870056497175E-2</v>
      </c>
    </row>
    <row r="30" spans="1:15" x14ac:dyDescent="0.2">
      <c r="A30" s="108" t="s">
        <v>561</v>
      </c>
      <c r="B30" s="44" t="str">
        <f>IF(LEN(VLOOKUP(A30,'Species List'!$A:$G,2,FALSE))=0,"",VLOOKUP(A30,'Species List'!$A:$G,2,FALSE))</f>
        <v>asparagus</v>
      </c>
      <c r="C30" s="44">
        <f>IF(LEN(VLOOKUP(A30,'Species List'!$A:$G,3,FALSE))=0,"",VLOOKUP(A30,'Species List'!$A:$G,3,FALSE))</f>
        <v>0</v>
      </c>
      <c r="D30" s="103">
        <f t="shared" si="0"/>
        <v>0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Introduced</v>
      </c>
      <c r="G30" s="44" t="str">
        <f>IF(LEN(VLOOKUP(A30,'Species List'!$A:$G,6,FALSE))=0,"",VLOOKUP(A30,'Species List'!$A:$G,6,FALSE))</f>
        <v>FACU</v>
      </c>
      <c r="H30" s="44">
        <f>VLOOKUP(A30,'Species List'!$A:$G,7,FALSE)</f>
        <v>0</v>
      </c>
      <c r="J30" s="111" t="s">
        <v>5420</v>
      </c>
      <c r="K30" s="47" t="str">
        <f>VLOOKUP(J30,'Species List'!$H$1:$J$9,2,FALSE)</f>
        <v>&gt;0-1%</v>
      </c>
      <c r="L30" s="47">
        <f>VLOOKUP(K30,'Species List'!$I$1:$N$8,2,FALSE)</f>
        <v>0.5</v>
      </c>
      <c r="M30" s="104">
        <f t="shared" si="1"/>
        <v>0.5</v>
      </c>
      <c r="N30" s="102">
        <f t="shared" si="2"/>
        <v>5.6497175141242938E-3</v>
      </c>
      <c r="O30" s="102">
        <f t="shared" si="3"/>
        <v>0</v>
      </c>
    </row>
    <row r="31" spans="1:15" x14ac:dyDescent="0.2">
      <c r="A31" s="108" t="s">
        <v>4531</v>
      </c>
      <c r="B31" s="44" t="str">
        <f>IF(LEN(VLOOKUP(A31,'Species List'!$A:$G,2,FALSE))=0,"",VLOOKUP(A31,'Species List'!$A:$G,2,FALSE))</f>
        <v>meadow goat's beard</v>
      </c>
      <c r="C31" s="44">
        <f>IF(LEN(VLOOKUP(A31,'Species List'!$A:$G,3,FALSE))=0,"",VLOOKUP(A31,'Species List'!$A:$G,3,FALSE))</f>
        <v>0</v>
      </c>
      <c r="D31" s="103">
        <f t="shared" si="0"/>
        <v>0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Introduced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111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4">
        <f t="shared" si="1"/>
        <v>0.5</v>
      </c>
      <c r="N31" s="102">
        <f t="shared" si="2"/>
        <v>5.6497175141242938E-3</v>
      </c>
      <c r="O31" s="102">
        <f t="shared" si="3"/>
        <v>0</v>
      </c>
    </row>
    <row r="32" spans="1:15" x14ac:dyDescent="0.2">
      <c r="A32" s="108" t="s">
        <v>4429</v>
      </c>
      <c r="B32" s="44" t="str">
        <f>IF(LEN(VLOOKUP(A32,'Species List'!$A:$G,2,FALSE))=0,"",VLOOKUP(A32,'Species List'!$A:$G,2,FALSE))</f>
        <v>aromatic aster</v>
      </c>
      <c r="C32" s="44">
        <f>IF(LEN(VLOOKUP(A32,'Species List'!$A:$G,3,FALSE))=0,"",VLOOKUP(A32,'Species List'!$A:$G,3,FALSE))</f>
        <v>6</v>
      </c>
      <c r="D32" s="103">
        <f t="shared" si="0"/>
        <v>6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/>
      </c>
      <c r="H32" s="44">
        <f>VLOOKUP(A32,'Species List'!$A:$G,7,FALSE)</f>
        <v>0</v>
      </c>
      <c r="J32" s="111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3.3898305084745763E-2</v>
      </c>
      <c r="O32" s="102">
        <f t="shared" si="3"/>
        <v>0.20338983050847459</v>
      </c>
    </row>
    <row r="33" spans="1:15" x14ac:dyDescent="0.2">
      <c r="A33" s="108" t="s">
        <v>3329</v>
      </c>
      <c r="B33" s="44" t="str">
        <f>IF(LEN(VLOOKUP(A33,'Species List'!$A:$G,2,FALSE))=0,"",VLOOKUP(A33,'Species List'!$A:$G,2,FALSE))</f>
        <v/>
      </c>
      <c r="C33" s="44">
        <f>IF(LEN(VLOOKUP(A33,'Species List'!$A:$G,3,FALSE))=0,"",VLOOKUP(A33,'Species List'!$A:$G,3,FALSE))</f>
        <v>3</v>
      </c>
      <c r="D33" s="103">
        <f t="shared" si="0"/>
        <v>3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/>
      </c>
      <c r="H33" s="44">
        <f>VLOOKUP(A33,'Species List'!$A:$G,7,FALSE)</f>
        <v>0</v>
      </c>
      <c r="J33" s="111" t="s">
        <v>5420</v>
      </c>
      <c r="K33" s="47" t="str">
        <f>VLOOKUP(J33,'Species List'!$H$1:$J$9,2,FALSE)</f>
        <v>&gt;0-1%</v>
      </c>
      <c r="L33" s="47">
        <f>VLOOKUP(K33,'Species List'!$I$1:$N$8,2,FALSE)</f>
        <v>0.5</v>
      </c>
      <c r="M33" s="104">
        <f t="shared" si="1"/>
        <v>0.5</v>
      </c>
      <c r="N33" s="102">
        <f t="shared" si="2"/>
        <v>5.6497175141242938E-3</v>
      </c>
      <c r="O33" s="102">
        <f t="shared" si="3"/>
        <v>1.6949152542372881E-2</v>
      </c>
    </row>
    <row r="34" spans="1:15" x14ac:dyDescent="0.2">
      <c r="A34" s="108" t="s">
        <v>4579</v>
      </c>
      <c r="B34" s="44" t="str">
        <f>IF(LEN(VLOOKUP(A34,'Species List'!$A:$G,2,FALSE))=0,"",VLOOKUP(A34,'Species List'!$A:$G,2,FALSE))</f>
        <v>late horse gentian</v>
      </c>
      <c r="C34" s="44">
        <f>IF(LEN(VLOOKUP(A34,'Species List'!$A:$G,3,FALSE))=0,"",VLOOKUP(A34,'Species List'!$A:$G,3,FALSE))</f>
        <v>4</v>
      </c>
      <c r="D34" s="103">
        <f t="shared" si="0"/>
        <v>4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[FAC]</v>
      </c>
      <c r="H34" s="44">
        <f>VLOOKUP(A34,'Species List'!$A:$G,7,FALSE)</f>
        <v>0</v>
      </c>
      <c r="J34" s="111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3.3898305084745763E-2</v>
      </c>
      <c r="O34" s="102">
        <f t="shared" si="3"/>
        <v>0.13559322033898305</v>
      </c>
    </row>
    <row r="35" spans="1:15" x14ac:dyDescent="0.2">
      <c r="A35" s="108" t="s">
        <v>2695</v>
      </c>
      <c r="B35" s="44" t="str">
        <f>IF(LEN(VLOOKUP(A35,'Species List'!$A:$G,2,FALSE))=0,"",VLOOKUP(A35,'Species List'!$A:$G,2,FALSE))</f>
        <v>grooved yellow flax</v>
      </c>
      <c r="C35" s="44">
        <f>IF(LEN(VLOOKUP(A35,'Species List'!$A:$G,3,FALSE))=0,"",VLOOKUP(A35,'Species List'!$A:$G,3,FALSE))</f>
        <v>8</v>
      </c>
      <c r="D35" s="103">
        <f t="shared" si="0"/>
        <v>8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/>
      </c>
      <c r="H35" s="44">
        <f>VLOOKUP(A35,'Species List'!$A:$G,7,FALSE)</f>
        <v>0</v>
      </c>
      <c r="J35" s="111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3.3898305084745763E-2</v>
      </c>
      <c r="O35" s="102">
        <f t="shared" si="3"/>
        <v>0.2711864406779661</v>
      </c>
    </row>
    <row r="36" spans="1:15" x14ac:dyDescent="0.2">
      <c r="A36" s="108" t="s">
        <v>1373</v>
      </c>
      <c r="B36" s="44" t="str">
        <f>IF(LEN(VLOOKUP(A36,'Species List'!$A:$G,2,FALSE))=0,"",VLOOKUP(A36,'Species List'!$A:$G,2,FALSE))</f>
        <v>Canada thistle</v>
      </c>
      <c r="C36" s="44">
        <f>IF(LEN(VLOOKUP(A36,'Species List'!$A:$G,3,FALSE))=0,"",VLOOKUP(A36,'Species List'!$A:$G,3,FALSE))</f>
        <v>0</v>
      </c>
      <c r="D36" s="103">
        <f t="shared" si="0"/>
        <v>0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Introduced</v>
      </c>
      <c r="G36" s="44" t="str">
        <f>IF(LEN(VLOOKUP(A36,'Species List'!$A:$G,6,FALSE))=0,"",VLOOKUP(A36,'Species List'!$A:$G,6,FALSE))</f>
        <v>FACU</v>
      </c>
      <c r="H36" s="44">
        <f>VLOOKUP(A36,'Species List'!$A:$G,7,FALSE)</f>
        <v>0</v>
      </c>
      <c r="J36" s="111" t="s">
        <v>5420</v>
      </c>
      <c r="K36" s="47" t="str">
        <f>VLOOKUP(J36,'Species List'!$H$1:$J$9,2,FALSE)</f>
        <v>&gt;0-1%</v>
      </c>
      <c r="L36" s="47">
        <f>VLOOKUP(K36,'Species List'!$I$1:$N$8,2,FALSE)</f>
        <v>0.5</v>
      </c>
      <c r="M36" s="104">
        <f t="shared" si="1"/>
        <v>0.5</v>
      </c>
      <c r="N36" s="102">
        <f t="shared" si="2"/>
        <v>5.6497175141242938E-3</v>
      </c>
      <c r="O36" s="102">
        <f t="shared" si="3"/>
        <v>0</v>
      </c>
    </row>
    <row r="37" spans="1:15" x14ac:dyDescent="0.2">
      <c r="A37" s="108" t="s">
        <v>1995</v>
      </c>
      <c r="B37" s="44" t="str">
        <f>IF(LEN(VLOOKUP(A37,'Species List'!$A:$G,2,FALSE))=0,"",VLOOKUP(A37,'Species List'!$A:$G,2,FALSE))</f>
        <v>daisy fleabane</v>
      </c>
      <c r="C37" s="44">
        <f>IF(LEN(VLOOKUP(A37,'Species List'!$A:$G,3,FALSE))=0,"",VLOOKUP(A37,'Species List'!$A:$G,3,FALSE))</f>
        <v>2</v>
      </c>
      <c r="D37" s="103">
        <f t="shared" si="0"/>
        <v>2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FAC-</v>
      </c>
      <c r="H37" s="44">
        <f>VLOOKUP(A37,'Species List'!$A:$G,7,FALSE)</f>
        <v>0</v>
      </c>
      <c r="J37" s="111" t="s">
        <v>5418</v>
      </c>
      <c r="K37" s="47" t="str">
        <f>VLOOKUP(J37,'Species List'!$H$1:$J$9,2,FALSE)</f>
        <v>&gt;1-5%</v>
      </c>
      <c r="L37" s="47">
        <f>VLOOKUP(K37,'Species List'!$I$1:$N$8,2,FALSE)</f>
        <v>3</v>
      </c>
      <c r="M37" s="104">
        <f t="shared" si="1"/>
        <v>3</v>
      </c>
      <c r="N37" s="102">
        <f t="shared" si="2"/>
        <v>3.3898305084745763E-2</v>
      </c>
      <c r="O37" s="102">
        <f t="shared" si="3"/>
        <v>6.7796610169491525E-2</v>
      </c>
    </row>
    <row r="38" spans="1:15" ht="13.2" x14ac:dyDescent="0.25">
      <c r="A38" s="36" t="s">
        <v>1382</v>
      </c>
      <c r="B38" s="44" t="str">
        <f>IF(LEN(VLOOKUP(A38,'Species List'!$A:$G,2,FALSE))=0,"",VLOOKUP(A38,'Species List'!$A:$G,2,FALSE))</f>
        <v>Hill's thistle</v>
      </c>
      <c r="C38" s="44">
        <f>IF(LEN(VLOOKUP(A38,'Species List'!$A:$G,3,FALSE))=0,"",VLOOKUP(A38,'Species List'!$A:$G,3,FALSE))</f>
        <v>7</v>
      </c>
      <c r="D38" s="103">
        <f t="shared" si="0"/>
        <v>7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/>
      </c>
      <c r="H38" s="44" t="str">
        <f>VLOOKUP(A38,'Species List'!$A:$G,7,FALSE)</f>
        <v>SC</v>
      </c>
      <c r="J38" s="111" t="s">
        <v>5418</v>
      </c>
      <c r="K38" s="47" t="str">
        <f>VLOOKUP(J38,'Species List'!$H$1:$J$9,2,FALSE)</f>
        <v>&gt;1-5%</v>
      </c>
      <c r="L38" s="47">
        <f>VLOOKUP(K38,'Species List'!$I$1:$N$8,2,FALSE)</f>
        <v>3</v>
      </c>
      <c r="M38" s="104">
        <f t="shared" si="1"/>
        <v>3</v>
      </c>
      <c r="N38" s="102">
        <f t="shared" si="2"/>
        <v>3.3898305084745763E-2</v>
      </c>
      <c r="O38" s="102">
        <f t="shared" si="3"/>
        <v>0.23728813559322035</v>
      </c>
    </row>
    <row r="39" spans="1:15" x14ac:dyDescent="0.2">
      <c r="A39" s="108" t="s">
        <v>352</v>
      </c>
      <c r="B39" s="44" t="str">
        <f>IF(LEN(VLOOKUP(A39,'Species List'!$A:$G,2,FALSE))=0,"",VLOOKUP(A39,'Species List'!$A:$G,2,FALSE))</f>
        <v>leadplant</v>
      </c>
      <c r="C39" s="44">
        <f>IF(LEN(VLOOKUP(A39,'Species List'!$A:$G,3,FALSE))=0,"",VLOOKUP(A39,'Species List'!$A:$G,3,FALSE))</f>
        <v>7</v>
      </c>
      <c r="D39" s="103">
        <f t="shared" si="0"/>
        <v>7</v>
      </c>
      <c r="E39" s="44" t="str">
        <f>IF(LEN(VLOOKUP(A39,'Species List'!$A:$G,4,FALSE))=0,"",VLOOKUP(A39,'Species List'!$A:$G,4,FALSE))</f>
        <v>D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/>
      </c>
      <c r="H39" s="44">
        <f>VLOOKUP(A39,'Species List'!$A:$G,7,FALSE)</f>
        <v>0</v>
      </c>
      <c r="J39" s="111" t="s">
        <v>5418</v>
      </c>
      <c r="K39" s="47" t="str">
        <f>VLOOKUP(J39,'Species List'!$H$1:$J$9,2,FALSE)</f>
        <v>&gt;1-5%</v>
      </c>
      <c r="L39" s="47">
        <f>VLOOKUP(K39,'Species List'!$I$1:$N$8,2,FALSE)</f>
        <v>3</v>
      </c>
      <c r="M39" s="104">
        <f t="shared" si="1"/>
        <v>3</v>
      </c>
      <c r="N39" s="102">
        <f t="shared" si="2"/>
        <v>3.3898305084745763E-2</v>
      </c>
      <c r="O39" s="102">
        <f t="shared" si="3"/>
        <v>0.23728813559322035</v>
      </c>
    </row>
    <row r="40" spans="1:15" x14ac:dyDescent="0.2">
      <c r="A40" s="108" t="s">
        <v>2878</v>
      </c>
      <c r="B40" s="44" t="str">
        <f>IF(LEN(VLOOKUP(A40,'Species List'!$A:$G,2,FALSE))=0,"",VLOOKUP(A40,'Species List'!$A:$G,2,FALSE))</f>
        <v>black medick</v>
      </c>
      <c r="C40" s="44">
        <v>0</v>
      </c>
      <c r="D40" s="103">
        <f t="shared" si="0"/>
        <v>0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Introduced</v>
      </c>
      <c r="G40" s="44" t="str">
        <f>IF(LEN(VLOOKUP(A40,'Species List'!$A:$G,6,FALSE))=0,"",VLOOKUP(A40,'Species List'!$A:$G,6,FALSE))</f>
        <v>FAC-</v>
      </c>
      <c r="H40" s="44">
        <f>VLOOKUP(A40,'Species List'!$A:$G,7,FALSE)</f>
        <v>0</v>
      </c>
      <c r="J40" s="111" t="s">
        <v>5418</v>
      </c>
      <c r="K40" s="47" t="str">
        <f>VLOOKUP(J40,'Species List'!$H$1:$J$9,2,FALSE)</f>
        <v>&gt;1-5%</v>
      </c>
      <c r="L40" s="47">
        <f>VLOOKUP(K40,'Species List'!$I$1:$N$8,2,FALSE)</f>
        <v>3</v>
      </c>
      <c r="M40" s="104">
        <f t="shared" si="1"/>
        <v>3</v>
      </c>
      <c r="N40" s="102">
        <f t="shared" si="2"/>
        <v>3.3898305084745763E-2</v>
      </c>
      <c r="O40" s="102">
        <f t="shared" si="3"/>
        <v>0</v>
      </c>
    </row>
    <row r="41" spans="1:15" x14ac:dyDescent="0.2">
      <c r="A41" s="108" t="s">
        <v>4653</v>
      </c>
      <c r="B41" s="44" t="str">
        <f>IF(LEN(VLOOKUP(A41,'Species List'!$A:$G,2,FALSE))=0,"",VLOOKUP(A41,'Species List'!$A:$G,2,FALSE))</f>
        <v>common mullein</v>
      </c>
      <c r="C41" s="44">
        <f>IF(LEN(VLOOKUP(A41,'Species List'!$A:$G,3,FALSE))=0,"",VLOOKUP(A41,'Species List'!$A:$G,3,FALSE))</f>
        <v>0</v>
      </c>
      <c r="D41" s="103">
        <f t="shared" si="0"/>
        <v>0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Introduced</v>
      </c>
      <c r="G41" s="44" t="str">
        <f>IF(LEN(VLOOKUP(A41,'Species List'!$A:$G,6,FALSE))=0,"",VLOOKUP(A41,'Species List'!$A:$G,6,FALSE))</f>
        <v>UPL</v>
      </c>
      <c r="H41" s="44">
        <f>VLOOKUP(A41,'Species List'!$A:$G,7,FALSE)</f>
        <v>0</v>
      </c>
      <c r="J41" s="111" t="s">
        <v>5420</v>
      </c>
      <c r="K41" s="47" t="str">
        <f>VLOOKUP(J41,'Species List'!$H$1:$J$9,2,FALSE)</f>
        <v>&gt;0-1%</v>
      </c>
      <c r="L41" s="47">
        <f>VLOOKUP(K41,'Species List'!$I$1:$N$8,2,FALSE)</f>
        <v>0.5</v>
      </c>
      <c r="M41" s="104">
        <f t="shared" si="1"/>
        <v>0.5</v>
      </c>
      <c r="N41" s="102">
        <f t="shared" si="2"/>
        <v>5.6497175141242938E-3</v>
      </c>
      <c r="O41" s="102">
        <f t="shared" si="3"/>
        <v>0</v>
      </c>
    </row>
    <row r="42" spans="1:15" x14ac:dyDescent="0.2">
      <c r="A42" s="113" t="s">
        <v>5439</v>
      </c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115" t="s">
        <v>5418</v>
      </c>
      <c r="K42" s="47" t="str">
        <f>VLOOKUP(J42,'Species List'!$H$1:$J$9,2,FALSE)</f>
        <v>&gt;1-5%</v>
      </c>
      <c r="L42" s="47">
        <f>VLOOKUP(K42,'Species List'!$I$1:$N$8,2,FALSE)</f>
        <v>3</v>
      </c>
      <c r="M42" s="104">
        <f t="shared" si="1"/>
        <v>3</v>
      </c>
      <c r="N42" s="102">
        <f t="shared" si="2"/>
        <v>3.3898305084745763E-2</v>
      </c>
      <c r="O42" s="102" t="e">
        <f t="shared" si="3"/>
        <v>#N/A</v>
      </c>
    </row>
    <row r="43" spans="1:15" x14ac:dyDescent="0.2">
      <c r="A43" s="113" t="s">
        <v>869</v>
      </c>
      <c r="B43" s="44" t="str">
        <f>IF(LEN(VLOOKUP(A43,'Species List'!$A:$G,2,FALSE))=0,"",VLOOKUP(A43,'Species List'!$A:$G,2,FALSE))</f>
        <v>harebell</v>
      </c>
      <c r="C43" s="44">
        <f>IF(LEN(VLOOKUP(A43,'Species List'!$A:$G,3,FALSE))=0,"",VLOOKUP(A43,'Species List'!$A:$G,3,FALSE))</f>
        <v>5</v>
      </c>
      <c r="D43" s="103">
        <f t="shared" si="0"/>
        <v>5</v>
      </c>
      <c r="E43" s="44" t="str">
        <f>IF(LEN(VLOOKUP(A43,'Species List'!$A:$G,4,FALSE))=0,"",VLOOKUP(A43,'Species List'!$A:$G,4,FALSE))</f>
        <v>H</v>
      </c>
      <c r="F43" s="44" t="str">
        <f>IF(LEN(VLOOKUP(A43,'Species List'!$A:$G,5,FALSE))=0,"",VLOOKUP(A43,'Species List'!$A:$G,5,FALSE))</f>
        <v>Native</v>
      </c>
      <c r="G43" s="44" t="str">
        <f>IF(LEN(VLOOKUP(A43,'Species List'!$A:$G,6,FALSE))=0,"",VLOOKUP(A43,'Species List'!$A:$G,6,FALSE))</f>
        <v>FAC-</v>
      </c>
      <c r="H43" s="44">
        <f>VLOOKUP(A43,'Species List'!$A:$G,7,FALSE)</f>
        <v>0</v>
      </c>
      <c r="J43" s="115" t="s">
        <v>5418</v>
      </c>
      <c r="K43" s="47" t="str">
        <f>VLOOKUP(J43,'Species List'!$H$1:$J$9,2,FALSE)</f>
        <v>&gt;1-5%</v>
      </c>
      <c r="L43" s="47">
        <f>VLOOKUP(K43,'Species List'!$I$1:$N$8,2,FALSE)</f>
        <v>3</v>
      </c>
      <c r="M43" s="104">
        <f t="shared" si="1"/>
        <v>3</v>
      </c>
      <c r="N43" s="102">
        <f t="shared" si="2"/>
        <v>3.3898305084745763E-2</v>
      </c>
      <c r="O43" s="102">
        <f t="shared" si="3"/>
        <v>0.16949152542372881</v>
      </c>
    </row>
    <row r="44" spans="1:15" x14ac:dyDescent="0.2">
      <c r="A44" s="113" t="s">
        <v>4412</v>
      </c>
      <c r="B44" s="44" t="str">
        <f>IF(LEN(VLOOKUP(A44,'Species List'!$A:$G,2,FALSE))=0,"",VLOOKUP(A44,'Species List'!$A:$G,2,FALSE))</f>
        <v>smooth blue aster</v>
      </c>
      <c r="C44" s="44">
        <f>IF(LEN(VLOOKUP(A44,'Species List'!$A:$G,3,FALSE))=0,"",VLOOKUP(A44,'Species List'!$A:$G,3,FALSE))</f>
        <v>6</v>
      </c>
      <c r="D44" s="103">
        <f t="shared" si="0"/>
        <v>6</v>
      </c>
      <c r="E44" s="44" t="str">
        <f>IF(LEN(VLOOKUP(A44,'Species List'!$A:$G,4,FALSE))=0,"",VLOOKUP(A44,'Species List'!$A:$G,4,FALSE))</f>
        <v>H</v>
      </c>
      <c r="F44" s="44" t="str">
        <f>IF(LEN(VLOOKUP(A44,'Species List'!$A:$G,5,FALSE))=0,"",VLOOKUP(A44,'Species List'!$A:$G,5,FALSE))</f>
        <v>Native</v>
      </c>
      <c r="G44" s="44" t="str">
        <f>IF(LEN(VLOOKUP(A44,'Species List'!$A:$G,6,FALSE))=0,"",VLOOKUP(A44,'Species List'!$A:$G,6,FALSE))</f>
        <v>FACU</v>
      </c>
      <c r="H44" s="44">
        <f>VLOOKUP(A44,'Species List'!$A:$G,7,FALSE)</f>
        <v>0</v>
      </c>
      <c r="I44" s="88" t="s">
        <v>5389</v>
      </c>
      <c r="J44" s="115" t="s">
        <v>5418</v>
      </c>
      <c r="K44" s="47" t="str">
        <f>VLOOKUP(J44,'Species List'!$H$1:$J$9,2,FALSE)</f>
        <v>&gt;1-5%</v>
      </c>
      <c r="L44" s="47">
        <f>VLOOKUP(K44,'Species List'!$I$1:$N$8,2,FALSE)</f>
        <v>3</v>
      </c>
      <c r="M44" s="104">
        <f t="shared" si="1"/>
        <v>3</v>
      </c>
      <c r="N44" s="102">
        <f t="shared" si="2"/>
        <v>3.3898305084745763E-2</v>
      </c>
      <c r="O44" s="102">
        <f t="shared" si="3"/>
        <v>0.20338983050847459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88.5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A12:A37 A39:A150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F17" sqref="F17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9"/>
      <c r="C7" s="139"/>
      <c r="D7" s="139"/>
      <c r="E7" s="139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6" t="s">
        <v>4273</v>
      </c>
      <c r="B12" s="44" t="str">
        <f>IF(LEN(VLOOKUP(A12,'Species List'!$A:$G,2,FALSE))=0,"",VLOOKUP(A12,'Species List'!$A:$G,2,FALSE))</f>
        <v>Indian grass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FACU+</v>
      </c>
      <c r="H12" s="44">
        <f>VLOOKUP(A12,'Species List'!$A:$G,7,FALSE)</f>
        <v>0</v>
      </c>
      <c r="J12" s="117">
        <v>3</v>
      </c>
      <c r="K12" s="47" t="str">
        <f>VLOOKUP(J12,'Species List'!$H$1:$J$9,2,FALSE)</f>
        <v>&gt;25-50%</v>
      </c>
      <c r="L12" s="47">
        <f>VLOOKUP(K12,'Species List'!$I$1:$N$8,2,FALSE)</f>
        <v>37.5</v>
      </c>
      <c r="M12" s="104">
        <f>VALUE(L12)</f>
        <v>37.5</v>
      </c>
      <c r="N12" s="102">
        <f>L12/$L$151</f>
        <v>0.38659793814432991</v>
      </c>
      <c r="O12" s="31">
        <f>D12*N12</f>
        <v>1.9329896907216495</v>
      </c>
    </row>
    <row r="13" spans="1:15" x14ac:dyDescent="0.2">
      <c r="A13" s="108" t="s">
        <v>757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6</v>
      </c>
      <c r="D13" s="103">
        <f t="shared" ref="D13:D18" si="0">VALUE(C13)</f>
        <v>6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17">
        <v>3</v>
      </c>
      <c r="K13" s="47" t="str">
        <f>VLOOKUP(J13,'Species List'!$H$1:$J$9,2,FALSE)</f>
        <v>&gt;25-50%</v>
      </c>
      <c r="L13" s="47">
        <f>VLOOKUP(K13,'Species List'!$I$1:$N$8,2,FALSE)</f>
        <v>37.5</v>
      </c>
      <c r="M13" s="104">
        <f t="shared" ref="M13:M76" si="1">VALUE(L13)</f>
        <v>37.5</v>
      </c>
      <c r="N13" s="102">
        <f t="shared" ref="N13:N14" si="2">L13/$L$151</f>
        <v>0.38659793814432991</v>
      </c>
      <c r="O13" s="102">
        <f t="shared" ref="O13:O76" si="3">D13*N13</f>
        <v>2.3195876288659796</v>
      </c>
    </row>
    <row r="14" spans="1:15" x14ac:dyDescent="0.2">
      <c r="A14" s="108" t="s">
        <v>3445</v>
      </c>
      <c r="B14" s="44" t="str">
        <f>IF(LEN(VLOOKUP(A14,'Species List'!$A:$G,2,FALSE))=0,"",VLOOKUP(A14,'Species List'!$A:$G,2,FALSE))</f>
        <v>Kentucky bluegrass</v>
      </c>
      <c r="C14" s="44">
        <f>IF(LEN(VLOOKUP(A14,'Species List'!$A:$G,3,FALSE))=0,"",VLOOKUP(A14,'Species List'!$A:$G,3,FALSE))</f>
        <v>0</v>
      </c>
      <c r="D14" s="103">
        <f t="shared" si="0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</v>
      </c>
      <c r="H14" s="44">
        <f>VLOOKUP(A14,'Species List'!$A:$G,7,FALSE)</f>
        <v>0</v>
      </c>
      <c r="J14" s="117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3.0927835051546393E-2</v>
      </c>
      <c r="O14" s="102">
        <f t="shared" si="3"/>
        <v>0</v>
      </c>
    </row>
    <row r="15" spans="1:15" x14ac:dyDescent="0.2">
      <c r="A15" s="108" t="s">
        <v>373</v>
      </c>
      <c r="B15" s="44" t="str">
        <f>IF(LEN(VLOOKUP(A15,'Species List'!$A:$G,2,FALSE))=0,"",VLOOKUP(A15,'Species List'!$A:$G,2,FALSE))</f>
        <v>big bluestem</v>
      </c>
      <c r="C15" s="44">
        <f>IF(LEN(VLOOKUP(A15,'Species List'!$A:$G,3,FALSE))=0,"",VLOOKUP(A15,'Species List'!$A:$G,3,FALSE))</f>
        <v>4</v>
      </c>
      <c r="D15" s="103">
        <f t="shared" si="0"/>
        <v>4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FAC-</v>
      </c>
      <c r="H15" s="44">
        <f>VLOOKUP(A15,'Species List'!$A:$G,7,FALSE)</f>
        <v>0</v>
      </c>
      <c r="J15" s="117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4">
        <f t="shared" si="1"/>
        <v>15</v>
      </c>
      <c r="N15" s="102">
        <f t="shared" ref="N15:N46" si="4">L15/$L$151</f>
        <v>0.15463917525773196</v>
      </c>
      <c r="O15" s="102">
        <f t="shared" si="3"/>
        <v>0.61855670103092786</v>
      </c>
    </row>
    <row r="16" spans="1:15" x14ac:dyDescent="0.2">
      <c r="A16" s="108" t="s">
        <v>4949</v>
      </c>
      <c r="B16" s="44" t="str">
        <f>IF(LEN(VLOOKUP(A16,'Species List'!$A:$G,2,FALSE))=0,"",VLOOKUP(A16,'Species List'!$A:$G,2,FALSE))</f>
        <v/>
      </c>
      <c r="C16" s="44">
        <v>3</v>
      </c>
      <c r="D16" s="103">
        <f t="shared" si="0"/>
        <v>3</v>
      </c>
      <c r="E16" s="44" t="str">
        <f>IF(LEN(VLOOKUP(A16,'Species List'!$A:$G,4,FALSE))=0,"",VLOOKUP(A16,'Species List'!$A:$G,4,FALSE))</f>
        <v/>
      </c>
      <c r="F16" s="44" t="s">
        <v>147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7">
        <v>1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4"/>
        <v>3.0927835051546393E-2</v>
      </c>
      <c r="O16" s="102">
        <f t="shared" si="3"/>
        <v>9.2783505154639179E-2</v>
      </c>
    </row>
    <row r="17" spans="1:15" x14ac:dyDescent="0.2">
      <c r="A17" s="108" t="s">
        <v>4907</v>
      </c>
      <c r="B17" s="44" t="str">
        <f>IF(LEN(VLOOKUP(A17,'Species List'!$A:$G,2,FALSE))=0,"",VLOOKUP(A17,'Species List'!$A:$G,2,FALSE))</f>
        <v/>
      </c>
      <c r="C17" s="44">
        <v>3</v>
      </c>
      <c r="D17" s="103">
        <f t="shared" si="0"/>
        <v>3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117" t="s">
        <v>5420</v>
      </c>
      <c r="K17" s="47" t="str">
        <f>VLOOKUP(J17,'Species List'!$H$1:$J$9,2,FALSE)</f>
        <v>&gt;0-1%</v>
      </c>
      <c r="L17" s="47">
        <f>VLOOKUP(K17,'Species List'!$I$1:$N$8,2,FALSE)</f>
        <v>0.5</v>
      </c>
      <c r="M17" s="104">
        <f t="shared" si="1"/>
        <v>0.5</v>
      </c>
      <c r="N17" s="102">
        <f t="shared" si="4"/>
        <v>5.1546391752577319E-3</v>
      </c>
      <c r="O17" s="102">
        <f t="shared" si="3"/>
        <v>1.5463917525773196E-2</v>
      </c>
    </row>
    <row r="18" spans="1:15" x14ac:dyDescent="0.2">
      <c r="A18" s="108" t="s">
        <v>4907</v>
      </c>
      <c r="B18" s="44" t="str">
        <f>IF(LEN(VLOOKUP(A18,'Species List'!$A:$G,2,FALSE))=0,"",VLOOKUP(A18,'Species List'!$A:$G,2,FALSE))</f>
        <v/>
      </c>
      <c r="C18" s="44">
        <v>3</v>
      </c>
      <c r="D18" s="103">
        <f t="shared" si="0"/>
        <v>3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117" t="s">
        <v>5420</v>
      </c>
      <c r="K18" s="47" t="str">
        <f>VLOOKUP(J18,'Species List'!$H$1:$J$9,2,FALSE)</f>
        <v>&gt;0-1%</v>
      </c>
      <c r="L18" s="47">
        <f>VLOOKUP(K18,'Species List'!$I$1:$N$8,2,FALSE)</f>
        <v>0.5</v>
      </c>
      <c r="M18" s="104">
        <f t="shared" si="1"/>
        <v>0.5</v>
      </c>
      <c r="N18" s="102">
        <f t="shared" si="4"/>
        <v>5.1546391752577319E-3</v>
      </c>
      <c r="O18" s="102">
        <f t="shared" si="3"/>
        <v>1.5463917525773196E-2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5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1"/>
        <v>#N/A</v>
      </c>
      <c r="N19" s="102" t="e">
        <f t="shared" si="4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5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1"/>
        <v>#N/A</v>
      </c>
      <c r="N20" s="102" t="e">
        <f t="shared" si="4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5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1"/>
        <v>#N/A</v>
      </c>
      <c r="N21" s="102" t="e">
        <f t="shared" si="4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5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1"/>
        <v>#N/A</v>
      </c>
      <c r="N22" s="102" t="e">
        <f t="shared" si="4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5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1"/>
        <v>#N/A</v>
      </c>
      <c r="N23" s="102" t="e">
        <f t="shared" si="4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5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1"/>
        <v>#N/A</v>
      </c>
      <c r="N24" s="102" t="e">
        <f t="shared" si="4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5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1"/>
        <v>#N/A</v>
      </c>
      <c r="N25" s="102" t="e">
        <f t="shared" si="4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5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1"/>
        <v>#N/A</v>
      </c>
      <c r="N26" s="102" t="e">
        <f t="shared" si="4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5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1"/>
        <v>#N/A</v>
      </c>
      <c r="N27" s="102" t="e">
        <f t="shared" si="4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5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1"/>
        <v>#N/A</v>
      </c>
      <c r="N28" s="102" t="e">
        <f t="shared" si="4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5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1"/>
        <v>#N/A</v>
      </c>
      <c r="N29" s="102" t="e">
        <f t="shared" si="4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5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1"/>
        <v>#N/A</v>
      </c>
      <c r="N30" s="102" t="e">
        <f t="shared" si="4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5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1"/>
        <v>#N/A</v>
      </c>
      <c r="N31" s="102" t="e">
        <f t="shared" si="4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5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1"/>
        <v>#N/A</v>
      </c>
      <c r="N32" s="102" t="e">
        <f t="shared" si="4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5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1"/>
        <v>#N/A</v>
      </c>
      <c r="N33" s="102" t="e">
        <f t="shared" si="4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5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1"/>
        <v>#N/A</v>
      </c>
      <c r="N34" s="102" t="e">
        <f t="shared" si="4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5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4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5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4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5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4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5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4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5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4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5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4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5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4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5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4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5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4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5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4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5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4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5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4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5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ref="N47:N75" si="6">L47/$L$151</f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5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6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5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6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5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6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5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6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5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6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5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6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5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6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5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6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5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6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5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6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5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6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5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6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5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6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5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6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5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6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5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6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5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6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5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6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5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6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5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6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5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6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5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6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5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6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5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6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5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6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5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6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5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6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5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6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5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ref="N76:N139" si="7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9">VALUE(L77)</f>
        <v>#N/A</v>
      </c>
      <c r="N77" s="102" t="e">
        <f t="shared" si="7"/>
        <v>#N/A</v>
      </c>
      <c r="O77" s="102" t="e">
        <f t="shared" ref="O77:O140" si="10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9"/>
        <v>#N/A</v>
      </c>
      <c r="N78" s="102" t="e">
        <f t="shared" si="7"/>
        <v>#N/A</v>
      </c>
      <c r="O78" s="102" t="e">
        <f t="shared" si="10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9"/>
        <v>#N/A</v>
      </c>
      <c r="N79" s="102" t="e">
        <f t="shared" si="7"/>
        <v>#N/A</v>
      </c>
      <c r="O79" s="102" t="e">
        <f t="shared" si="10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9"/>
        <v>#N/A</v>
      </c>
      <c r="N80" s="102" t="e">
        <f t="shared" si="7"/>
        <v>#N/A</v>
      </c>
      <c r="O80" s="102" t="e">
        <f t="shared" si="10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9"/>
        <v>#N/A</v>
      </c>
      <c r="N81" s="102" t="e">
        <f t="shared" si="7"/>
        <v>#N/A</v>
      </c>
      <c r="O81" s="102" t="e">
        <f t="shared" si="10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9"/>
        <v>#N/A</v>
      </c>
      <c r="N82" s="102" t="e">
        <f t="shared" si="7"/>
        <v>#N/A</v>
      </c>
      <c r="O82" s="102" t="e">
        <f t="shared" si="10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9"/>
        <v>#N/A</v>
      </c>
      <c r="N83" s="102" t="e">
        <f t="shared" si="7"/>
        <v>#N/A</v>
      </c>
      <c r="O83" s="102" t="e">
        <f t="shared" si="10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9"/>
        <v>#N/A</v>
      </c>
      <c r="N84" s="102" t="e">
        <f t="shared" si="7"/>
        <v>#N/A</v>
      </c>
      <c r="O84" s="102" t="e">
        <f t="shared" si="10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9"/>
        <v>#N/A</v>
      </c>
      <c r="N85" s="102" t="e">
        <f t="shared" si="7"/>
        <v>#N/A</v>
      </c>
      <c r="O85" s="102" t="e">
        <f t="shared" si="10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9"/>
        <v>#N/A</v>
      </c>
      <c r="N86" s="102" t="e">
        <f t="shared" si="7"/>
        <v>#N/A</v>
      </c>
      <c r="O86" s="102" t="e">
        <f t="shared" si="10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9"/>
        <v>#N/A</v>
      </c>
      <c r="N87" s="102" t="e">
        <f t="shared" si="7"/>
        <v>#N/A</v>
      </c>
      <c r="O87" s="102" t="e">
        <f t="shared" si="10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9"/>
        <v>#N/A</v>
      </c>
      <c r="N88" s="102" t="e">
        <f t="shared" si="7"/>
        <v>#N/A</v>
      </c>
      <c r="O88" s="102" t="e">
        <f t="shared" si="10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9"/>
        <v>#N/A</v>
      </c>
      <c r="N89" s="102" t="e">
        <f t="shared" si="7"/>
        <v>#N/A</v>
      </c>
      <c r="O89" s="102" t="e">
        <f t="shared" si="10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9"/>
        <v>#N/A</v>
      </c>
      <c r="N90" s="102" t="e">
        <f t="shared" si="7"/>
        <v>#N/A</v>
      </c>
      <c r="O90" s="102" t="e">
        <f t="shared" si="10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9"/>
        <v>#N/A</v>
      </c>
      <c r="N91" s="102" t="e">
        <f t="shared" si="7"/>
        <v>#N/A</v>
      </c>
      <c r="O91" s="102" t="e">
        <f t="shared" si="10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9"/>
        <v>#N/A</v>
      </c>
      <c r="N92" s="102" t="e">
        <f t="shared" si="7"/>
        <v>#N/A</v>
      </c>
      <c r="O92" s="102" t="e">
        <f t="shared" si="10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9"/>
        <v>#N/A</v>
      </c>
      <c r="N93" s="102" t="e">
        <f t="shared" si="7"/>
        <v>#N/A</v>
      </c>
      <c r="O93" s="102" t="e">
        <f t="shared" si="10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9"/>
        <v>#N/A</v>
      </c>
      <c r="N94" s="102" t="e">
        <f t="shared" si="7"/>
        <v>#N/A</v>
      </c>
      <c r="O94" s="102" t="e">
        <f t="shared" si="10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9"/>
        <v>#N/A</v>
      </c>
      <c r="N95" s="102" t="e">
        <f t="shared" si="7"/>
        <v>#N/A</v>
      </c>
      <c r="O95" s="102" t="e">
        <f t="shared" si="10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9"/>
        <v>#N/A</v>
      </c>
      <c r="N96" s="102" t="e">
        <f t="shared" si="7"/>
        <v>#N/A</v>
      </c>
      <c r="O96" s="102" t="e">
        <f t="shared" si="10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9"/>
        <v>#N/A</v>
      </c>
      <c r="N97" s="102" t="e">
        <f t="shared" si="7"/>
        <v>#N/A</v>
      </c>
      <c r="O97" s="102" t="e">
        <f t="shared" si="10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9"/>
        <v>#N/A</v>
      </c>
      <c r="N98" s="102" t="e">
        <f t="shared" si="7"/>
        <v>#N/A</v>
      </c>
      <c r="O98" s="102" t="e">
        <f t="shared" si="10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9"/>
        <v>#N/A</v>
      </c>
      <c r="N99" s="102" t="e">
        <f t="shared" si="7"/>
        <v>#N/A</v>
      </c>
      <c r="O99" s="102" t="e">
        <f t="shared" si="10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9"/>
        <v>#N/A</v>
      </c>
      <c r="N100" s="102" t="e">
        <f t="shared" si="7"/>
        <v>#N/A</v>
      </c>
      <c r="O100" s="102" t="e">
        <f t="shared" si="10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9"/>
        <v>#N/A</v>
      </c>
      <c r="N101" s="102" t="e">
        <f t="shared" si="7"/>
        <v>#N/A</v>
      </c>
      <c r="O101" s="102" t="e">
        <f t="shared" si="10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9"/>
        <v>#N/A</v>
      </c>
      <c r="N102" s="102" t="e">
        <f t="shared" si="7"/>
        <v>#N/A</v>
      </c>
      <c r="O102" s="102" t="e">
        <f t="shared" si="10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9"/>
        <v>#N/A</v>
      </c>
      <c r="N103" s="102" t="e">
        <f t="shared" si="7"/>
        <v>#N/A</v>
      </c>
      <c r="O103" s="102" t="e">
        <f t="shared" si="10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9"/>
        <v>#N/A</v>
      </c>
      <c r="N104" s="102" t="e">
        <f t="shared" si="7"/>
        <v>#N/A</v>
      </c>
      <c r="O104" s="102" t="e">
        <f t="shared" si="10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9"/>
        <v>#N/A</v>
      </c>
      <c r="N105" s="102" t="e">
        <f t="shared" si="7"/>
        <v>#N/A</v>
      </c>
      <c r="O105" s="102" t="e">
        <f t="shared" si="10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9"/>
        <v>#N/A</v>
      </c>
      <c r="N106" s="102" t="e">
        <f t="shared" si="7"/>
        <v>#N/A</v>
      </c>
      <c r="O106" s="102" t="e">
        <f t="shared" si="10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9"/>
        <v>#N/A</v>
      </c>
      <c r="N107" s="102" t="e">
        <f t="shared" si="7"/>
        <v>#N/A</v>
      </c>
      <c r="O107" s="102" t="e">
        <f t="shared" si="10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9"/>
        <v>#N/A</v>
      </c>
      <c r="N108" s="102" t="e">
        <f t="shared" si="7"/>
        <v>#N/A</v>
      </c>
      <c r="O108" s="102" t="e">
        <f t="shared" si="10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9"/>
        <v>#N/A</v>
      </c>
      <c r="N109" s="102" t="e">
        <f t="shared" si="7"/>
        <v>#N/A</v>
      </c>
      <c r="O109" s="102" t="e">
        <f t="shared" si="10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9"/>
        <v>#N/A</v>
      </c>
      <c r="N110" s="102" t="e">
        <f t="shared" si="7"/>
        <v>#N/A</v>
      </c>
      <c r="O110" s="102" t="e">
        <f t="shared" si="10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9"/>
        <v>#N/A</v>
      </c>
      <c r="N111" s="102" t="e">
        <f t="shared" si="7"/>
        <v>#N/A</v>
      </c>
      <c r="O111" s="102" t="e">
        <f t="shared" si="10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9"/>
        <v>#N/A</v>
      </c>
      <c r="N112" s="102" t="e">
        <f t="shared" si="7"/>
        <v>#N/A</v>
      </c>
      <c r="O112" s="102" t="e">
        <f t="shared" si="10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9"/>
        <v>#N/A</v>
      </c>
      <c r="N113" s="102" t="e">
        <f t="shared" si="7"/>
        <v>#N/A</v>
      </c>
      <c r="O113" s="102" t="e">
        <f t="shared" si="10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9"/>
        <v>#N/A</v>
      </c>
      <c r="N114" s="102" t="e">
        <f t="shared" si="7"/>
        <v>#N/A</v>
      </c>
      <c r="O114" s="102" t="e">
        <f t="shared" si="10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9"/>
        <v>#N/A</v>
      </c>
      <c r="N115" s="102" t="e">
        <f t="shared" si="7"/>
        <v>#N/A</v>
      </c>
      <c r="O115" s="102" t="e">
        <f t="shared" si="10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9"/>
        <v>#N/A</v>
      </c>
      <c r="N116" s="102" t="e">
        <f t="shared" si="7"/>
        <v>#N/A</v>
      </c>
      <c r="O116" s="102" t="e">
        <f t="shared" si="10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9"/>
        <v>#N/A</v>
      </c>
      <c r="N117" s="102" t="e">
        <f t="shared" si="7"/>
        <v>#N/A</v>
      </c>
      <c r="O117" s="102" t="e">
        <f t="shared" si="10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9"/>
        <v>#N/A</v>
      </c>
      <c r="N118" s="102" t="e">
        <f t="shared" si="7"/>
        <v>#N/A</v>
      </c>
      <c r="O118" s="102" t="e">
        <f t="shared" si="10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9"/>
        <v>#N/A</v>
      </c>
      <c r="N119" s="102" t="e">
        <f t="shared" si="7"/>
        <v>#N/A</v>
      </c>
      <c r="O119" s="102" t="e">
        <f t="shared" si="10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9"/>
        <v>#N/A</v>
      </c>
      <c r="N120" s="102" t="e">
        <f t="shared" si="7"/>
        <v>#N/A</v>
      </c>
      <c r="O120" s="102" t="e">
        <f t="shared" si="10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9"/>
        <v>#N/A</v>
      </c>
      <c r="N121" s="102" t="e">
        <f t="shared" si="7"/>
        <v>#N/A</v>
      </c>
      <c r="O121" s="102" t="e">
        <f t="shared" si="10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9"/>
        <v>#N/A</v>
      </c>
      <c r="N122" s="102" t="e">
        <f t="shared" si="7"/>
        <v>#N/A</v>
      </c>
      <c r="O122" s="102" t="e">
        <f t="shared" si="10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9"/>
        <v>#N/A</v>
      </c>
      <c r="N123" s="102" t="e">
        <f t="shared" si="7"/>
        <v>#N/A</v>
      </c>
      <c r="O123" s="102" t="e">
        <f t="shared" si="10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9"/>
        <v>#N/A</v>
      </c>
      <c r="N124" s="102" t="e">
        <f t="shared" si="7"/>
        <v>#N/A</v>
      </c>
      <c r="O124" s="102" t="e">
        <f t="shared" si="10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9"/>
        <v>#N/A</v>
      </c>
      <c r="N125" s="102" t="e">
        <f t="shared" si="7"/>
        <v>#N/A</v>
      </c>
      <c r="O125" s="102" t="e">
        <f t="shared" si="10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9"/>
        <v>#N/A</v>
      </c>
      <c r="N126" s="102" t="e">
        <f t="shared" si="7"/>
        <v>#N/A</v>
      </c>
      <c r="O126" s="102" t="e">
        <f t="shared" si="10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9"/>
        <v>#N/A</v>
      </c>
      <c r="N127" s="102" t="e">
        <f t="shared" si="7"/>
        <v>#N/A</v>
      </c>
      <c r="O127" s="102" t="e">
        <f t="shared" si="10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9"/>
        <v>#N/A</v>
      </c>
      <c r="N128" s="102" t="e">
        <f t="shared" si="7"/>
        <v>#N/A</v>
      </c>
      <c r="O128" s="102" t="e">
        <f t="shared" si="10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9"/>
        <v>#N/A</v>
      </c>
      <c r="N129" s="102" t="e">
        <f t="shared" si="7"/>
        <v>#N/A</v>
      </c>
      <c r="O129" s="102" t="e">
        <f t="shared" si="10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9"/>
        <v>#N/A</v>
      </c>
      <c r="N130" s="102" t="e">
        <f t="shared" si="7"/>
        <v>#N/A</v>
      </c>
      <c r="O130" s="102" t="e">
        <f t="shared" si="10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9"/>
        <v>#N/A</v>
      </c>
      <c r="N131" s="102" t="e">
        <f t="shared" si="7"/>
        <v>#N/A</v>
      </c>
      <c r="O131" s="102" t="e">
        <f t="shared" si="10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9"/>
        <v>#N/A</v>
      </c>
      <c r="N132" s="102" t="e">
        <f t="shared" si="7"/>
        <v>#N/A</v>
      </c>
      <c r="O132" s="102" t="e">
        <f t="shared" si="10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9"/>
        <v>#N/A</v>
      </c>
      <c r="N133" s="102" t="e">
        <f t="shared" si="7"/>
        <v>#N/A</v>
      </c>
      <c r="O133" s="102" t="e">
        <f t="shared" si="10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9"/>
        <v>#N/A</v>
      </c>
      <c r="N134" s="102" t="e">
        <f t="shared" si="7"/>
        <v>#N/A</v>
      </c>
      <c r="O134" s="102" t="e">
        <f t="shared" si="10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9"/>
        <v>#N/A</v>
      </c>
      <c r="N135" s="102" t="e">
        <f t="shared" si="7"/>
        <v>#N/A</v>
      </c>
      <c r="O135" s="102" t="e">
        <f t="shared" si="10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9"/>
        <v>#N/A</v>
      </c>
      <c r="N136" s="102" t="e">
        <f t="shared" si="7"/>
        <v>#N/A</v>
      </c>
      <c r="O136" s="102" t="e">
        <f t="shared" si="10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9"/>
        <v>#N/A</v>
      </c>
      <c r="N137" s="102" t="e">
        <f t="shared" si="7"/>
        <v>#N/A</v>
      </c>
      <c r="O137" s="102" t="e">
        <f t="shared" si="10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9"/>
        <v>#N/A</v>
      </c>
      <c r="N138" s="102" t="e">
        <f t="shared" si="7"/>
        <v>#N/A</v>
      </c>
      <c r="O138" s="102" t="e">
        <f t="shared" si="10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9"/>
        <v>#N/A</v>
      </c>
      <c r="N139" s="102" t="e">
        <f t="shared" si="7"/>
        <v>#N/A</v>
      </c>
      <c r="O139" s="102" t="e">
        <f t="shared" si="10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9"/>
        <v>#N/A</v>
      </c>
      <c r="N140" s="102" t="e">
        <f t="shared" ref="N140:N149" si="11">L140/$L$151</f>
        <v>#N/A</v>
      </c>
      <c r="O140" s="102" t="e">
        <f t="shared" si="10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3">VALUE(L141)</f>
        <v>#N/A</v>
      </c>
      <c r="N141" s="102" t="e">
        <f t="shared" si="11"/>
        <v>#N/A</v>
      </c>
      <c r="O141" s="102" t="e">
        <f t="shared" ref="O141:O150" si="14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3"/>
        <v>#N/A</v>
      </c>
      <c r="N142" s="102" t="e">
        <f t="shared" si="11"/>
        <v>#N/A</v>
      </c>
      <c r="O142" s="102" t="e">
        <f t="shared" si="14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3"/>
        <v>#N/A</v>
      </c>
      <c r="N143" s="102" t="e">
        <f t="shared" si="11"/>
        <v>#N/A</v>
      </c>
      <c r="O143" s="102" t="e">
        <f t="shared" si="14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3"/>
        <v>#N/A</v>
      </c>
      <c r="N144" s="102" t="e">
        <f t="shared" si="11"/>
        <v>#N/A</v>
      </c>
      <c r="O144" s="102" t="e">
        <f t="shared" si="14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3"/>
        <v>#N/A</v>
      </c>
      <c r="N145" s="102" t="e">
        <f t="shared" si="11"/>
        <v>#N/A</v>
      </c>
      <c r="O145" s="102" t="e">
        <f t="shared" si="14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3"/>
        <v>#N/A</v>
      </c>
      <c r="N146" s="102" t="e">
        <f t="shared" si="11"/>
        <v>#N/A</v>
      </c>
      <c r="O146" s="102" t="e">
        <f t="shared" si="14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3"/>
        <v>#N/A</v>
      </c>
      <c r="N147" s="102" t="e">
        <f t="shared" si="11"/>
        <v>#N/A</v>
      </c>
      <c r="O147" s="102" t="e">
        <f t="shared" si="14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3"/>
        <v>#N/A</v>
      </c>
      <c r="N148" s="102" t="e">
        <f t="shared" si="11"/>
        <v>#N/A</v>
      </c>
      <c r="O148" s="102" t="e">
        <f t="shared" si="14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3"/>
        <v>#N/A</v>
      </c>
      <c r="N149" s="102" t="e">
        <f t="shared" si="11"/>
        <v>#N/A</v>
      </c>
      <c r="O149" s="102" t="e">
        <f t="shared" si="14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2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3"/>
        <v>#N/A</v>
      </c>
      <c r="N150" s="102" t="e">
        <f>L150/$L$151</f>
        <v>#N/A</v>
      </c>
      <c r="O150" s="102" t="e">
        <f t="shared" si="14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97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F7" sqref="F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3" t="s">
        <v>4840</v>
      </c>
      <c r="B1" s="143"/>
      <c r="C1" s="143"/>
      <c r="D1" s="143"/>
      <c r="E1" s="143"/>
      <c r="F1" s="143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COUNTIF(Woody!$F$10:$F$147,"Native")</f>
        <v>9</v>
      </c>
      <c r="C4" s="106">
        <f>COUNTIF(Forbs!$F$10:$F$148,"Native")</f>
        <v>25</v>
      </c>
      <c r="D4" s="106">
        <f>COUNTIF(Grasses!$F$10:$F$149,"Native")</f>
        <v>6</v>
      </c>
      <c r="E4" s="106">
        <f>AVERAGE(B4:D4)</f>
        <v>13.333333333333334</v>
      </c>
      <c r="F4" s="106">
        <f>SUM(B4:D4)</f>
        <v>40</v>
      </c>
    </row>
    <row r="5" spans="1:6" ht="17.399999999999999" x14ac:dyDescent="0.3">
      <c r="A5" s="53" t="s">
        <v>4845</v>
      </c>
      <c r="B5" s="106">
        <f>COUNTIF(Woody!$F10:$F197,"Introduced")</f>
        <v>2</v>
      </c>
      <c r="C5" s="106">
        <f>COUNTIF(Forbs!$F10:$F199,"Introduced")</f>
        <v>7</v>
      </c>
      <c r="D5" s="106">
        <f>COUNTIF(Grasses!$F10:$F199,"Introduced")</f>
        <v>1</v>
      </c>
      <c r="E5" s="106">
        <f t="shared" ref="E5:E6" si="0">AVERAGE(B5:D5)</f>
        <v>3.3333333333333335</v>
      </c>
      <c r="F5" s="106">
        <f>SUM(B5:D5)</f>
        <v>10</v>
      </c>
    </row>
    <row r="6" spans="1:6" s="83" customFormat="1" ht="19.8" x14ac:dyDescent="0.4">
      <c r="A6" s="53" t="s">
        <v>5422</v>
      </c>
      <c r="B6" s="106">
        <f>SUM(B4:B5)</f>
        <v>11</v>
      </c>
      <c r="C6" s="106">
        <f>SUM(C4:C5)</f>
        <v>32</v>
      </c>
      <c r="D6" s="106">
        <f>SUM(D4:D5)</f>
        <v>7</v>
      </c>
      <c r="E6" s="106">
        <f t="shared" si="0"/>
        <v>16.666666666666668</v>
      </c>
      <c r="F6" s="106">
        <f>SUM(B6:D6)</f>
        <v>50</v>
      </c>
    </row>
    <row r="7" spans="1:6" ht="17.399999999999999" x14ac:dyDescent="0.3">
      <c r="A7" s="53" t="s">
        <v>4846</v>
      </c>
      <c r="B7" s="106">
        <f>AVERAGEIF(Woody!D12:D148,"&gt;0")</f>
        <v>3.3333333333333335</v>
      </c>
      <c r="C7" s="106">
        <f>AVERAGEIF(Forbs!D12:D150,"&gt;0")</f>
        <v>4.8260869565217392</v>
      </c>
      <c r="D7" s="106">
        <f>AVERAGEIF(Grasses!D12:D150,"&gt;0")</f>
        <v>4</v>
      </c>
      <c r="E7" s="106">
        <f>AVERAGE(B7:D7)</f>
        <v>4.0531400966183577</v>
      </c>
      <c r="F7" s="106">
        <f>(SUMIF(Woody!D12:D148,"&gt;0")+SUMIF(Forbs!D12:D150,"&gt;0")+SUMIF(Grasses!D12:D150,"&gt;0"))/(COUNTIF(Woody!D12:D148,"&gt;0")+COUNTIF(Forbs!D12:D150,"&gt;0")+COUNTIF(Grasses!D12:D150,"&gt;0"))</f>
        <v>4.3421052631578947</v>
      </c>
    </row>
    <row r="8" spans="1:6" s="31" customFormat="1" ht="19.8" x14ac:dyDescent="0.4">
      <c r="A8" s="53" t="s">
        <v>5423</v>
      </c>
      <c r="B8" s="106">
        <f>AVERAGEIF(Woody!D12:D148,"&gt;=0")</f>
        <v>2.7272727272727271</v>
      </c>
      <c r="C8" s="106">
        <f>AVERAGEIF(Forbs!D12:D150,"&gt;=0")</f>
        <v>3.46875</v>
      </c>
      <c r="D8" s="106">
        <f>AVERAGEIF(Grasses!D12:D150,"&gt;=0")</f>
        <v>3.4285714285714284</v>
      </c>
      <c r="E8" s="106">
        <f>AVERAGE(B8:D8)</f>
        <v>3.208198051948052</v>
      </c>
      <c r="F8" s="106">
        <f>(SUMIF(Woody!D12:D148,"&gt;=0")+SUMIF(Forbs!D12:D150,"&gt;=0")+SUMIF(Grasses!D12:D150,"&gt;=0"))/(COUNTIF(Woody!D12:D148,"&gt;=0")+COUNTIF(Forbs!D12:D150,"&gt;=0")+COUNTIF(Grasses!D12:D150,"&gt;=0"))</f>
        <v>3.3</v>
      </c>
    </row>
    <row r="9" spans="1:6" ht="17.399999999999999" x14ac:dyDescent="0.3">
      <c r="A9" s="53" t="s">
        <v>4839</v>
      </c>
      <c r="B9" s="106">
        <f>SQRT(B4)*B7</f>
        <v>10</v>
      </c>
      <c r="C9" s="106">
        <f>SQRT(C4)*C7</f>
        <v>24.130434782608695</v>
      </c>
      <c r="D9" s="106">
        <f>SQRT(D4)*D7</f>
        <v>9.7979589711327115</v>
      </c>
      <c r="E9" s="106">
        <f>SQRT(E4)*E7</f>
        <v>14.799975064310287</v>
      </c>
      <c r="F9" s="106">
        <f>SQRT(F4)*F7</f>
        <v>27.461884943567505</v>
      </c>
    </row>
    <row r="10" spans="1:6" s="84" customFormat="1" ht="19.8" x14ac:dyDescent="0.4">
      <c r="A10" s="53" t="s">
        <v>5424</v>
      </c>
      <c r="B10" s="106">
        <f>SQRT(B6)*B8</f>
        <v>9.0453403373329078</v>
      </c>
      <c r="C10" s="106">
        <f>SQRT(C6)*C8</f>
        <v>19.622213177926696</v>
      </c>
      <c r="D10" s="106">
        <f>SQRT(D6)*D8</f>
        <v>9.0711473522214536</v>
      </c>
      <c r="E10" s="106">
        <f>SQRT(E6)*E8</f>
        <v>13.097413701772879</v>
      </c>
      <c r="F10" s="106">
        <f>SQRT(F6)*F8</f>
        <v>23.334523779156068</v>
      </c>
    </row>
    <row r="11" spans="1:6" ht="17.399999999999999" x14ac:dyDescent="0.3">
      <c r="A11" s="53" t="s">
        <v>4847</v>
      </c>
      <c r="B11" s="106">
        <f>SUMIF(Woody!$M$10:$M$148,"&gt;=0")</f>
        <v>25.5</v>
      </c>
      <c r="C11" s="106">
        <f>SUMIF(Forbs!$M$10:$M$151,"&gt;=0")</f>
        <v>88.5</v>
      </c>
      <c r="D11" s="106">
        <f>SUMIF(Grasses!$M$10:$M$150,"&gt;=0")</f>
        <v>97</v>
      </c>
      <c r="E11" s="106">
        <f>AVERAGE(B11:D11)</f>
        <v>70.333333333333329</v>
      </c>
      <c r="F11" s="106">
        <f>SUM(B11:D11)</f>
        <v>211</v>
      </c>
    </row>
    <row r="12" spans="1:6" ht="17.399999999999999" x14ac:dyDescent="0.3">
      <c r="A12" s="53" t="s">
        <v>5388</v>
      </c>
      <c r="B12" s="106">
        <f>SUMIF(Woody!$F$10:$F$148,"Introduced",Woody!$L$10:$L$148)</f>
        <v>6</v>
      </c>
      <c r="C12" s="106">
        <f>SUMIF(Forbs!$F$10:$F$151,"Introduced",Forbs!$L$10:$L$151)</f>
        <v>23</v>
      </c>
      <c r="D12" s="106">
        <f>SUMIF(Grasses!$F$10:$F$150,"Introduced",Grasses!$L$10:$L$150)</f>
        <v>3</v>
      </c>
      <c r="E12" s="106">
        <f>AVERAGE(B12:D12)</f>
        <v>10.666666666666666</v>
      </c>
      <c r="F12" s="106">
        <f>SUM(B12:D12)</f>
        <v>32</v>
      </c>
    </row>
    <row r="13" spans="1:6" ht="18" thickBot="1" x14ac:dyDescent="0.35">
      <c r="A13" s="54" t="s">
        <v>4848</v>
      </c>
      <c r="B13" s="107">
        <f>B12/B11</f>
        <v>0.23529411764705882</v>
      </c>
      <c r="C13" s="107">
        <f>C12/C11</f>
        <v>0.25988700564971751</v>
      </c>
      <c r="D13" s="107">
        <f>D12/D11</f>
        <v>3.0927835051546393E-2</v>
      </c>
      <c r="E13" s="107">
        <f>E12/E11</f>
        <v>0.15165876777251186</v>
      </c>
      <c r="F13" s="107">
        <f>F12/F11</f>
        <v>0.15165876777251186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SUMIF(Woody!$O$10:$O$148,"&gt;=0")</f>
        <v>2.4509803921568629</v>
      </c>
      <c r="C15" s="105">
        <f>SUMIF(Forbs!$O$10:$O$150,"&gt;=0")</f>
        <v>3.4519774011299429</v>
      </c>
      <c r="D15" s="105">
        <f>SUMIF(Grasses!$O$10:$O$150,"&gt;=0")</f>
        <v>4.9948453608247423</v>
      </c>
      <c r="E15" s="105">
        <f>AVERAGE(B15:D15)</f>
        <v>3.632601051370516</v>
      </c>
      <c r="F15" s="106">
        <f>SUM(B15:D15)</f>
        <v>10.897803154111548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2022-02-03T19:53:06Z</dcterms:modified>
</cp:coreProperties>
</file>