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D9391D3C-A7AD-49DF-8777-7F6112C1DBFC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0" l="1"/>
  <c r="C14" i="10"/>
  <c r="C15" i="10"/>
  <c r="C16" i="10"/>
  <c r="C17" i="10"/>
  <c r="C18" i="10"/>
  <c r="F14" i="9"/>
  <c r="F15" i="9"/>
  <c r="F16" i="9"/>
  <c r="F18" i="9"/>
  <c r="C14" i="9"/>
  <c r="C15" i="9"/>
  <c r="C16" i="9"/>
  <c r="C18" i="9"/>
  <c r="B12" i="9" l="1"/>
  <c r="D16" i="9"/>
  <c r="C13" i="6" l="1"/>
  <c r="C14" i="6"/>
  <c r="C15" i="6"/>
  <c r="C16" i="6"/>
  <c r="C17" i="6"/>
  <c r="C20" i="10"/>
  <c r="C21" i="10"/>
  <c r="C23" i="10"/>
  <c r="C24" i="10"/>
  <c r="C25" i="10"/>
  <c r="C26" i="10"/>
  <c r="C27" i="10"/>
  <c r="C28" i="10"/>
  <c r="C29" i="10"/>
  <c r="C30" i="10"/>
  <c r="C31" i="10"/>
  <c r="C32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1" i="9"/>
  <c r="C22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4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/>
  <c r="B28" i="9"/>
  <c r="C28" i="9"/>
  <c r="D28" i="9" s="1"/>
  <c r="E28" i="9"/>
  <c r="F28" i="9"/>
  <c r="G28" i="9"/>
  <c r="H28" i="9"/>
  <c r="K28" i="9"/>
  <c r="L28" i="9"/>
  <c r="B29" i="9"/>
  <c r="C29" i="9"/>
  <c r="D29" i="9" s="1"/>
  <c r="E29" i="9"/>
  <c r="F29" i="9"/>
  <c r="G29" i="9"/>
  <c r="H29" i="9"/>
  <c r="K29" i="9"/>
  <c r="L29" i="9" s="1"/>
  <c r="B7" i="7" l="1"/>
  <c r="B11" i="7"/>
  <c r="B5" i="7"/>
  <c r="B4" i="7"/>
  <c r="B12" i="7"/>
  <c r="B8" i="7"/>
  <c r="M150" i="6"/>
  <c r="B13" i="7" l="1"/>
  <c r="B9" i="7"/>
  <c r="B6" i="7"/>
  <c r="H15" i="6"/>
  <c r="H14" i="6"/>
  <c r="H13" i="6"/>
  <c r="H12" i="6"/>
  <c r="H14" i="10"/>
  <c r="H13" i="10"/>
  <c r="H12" i="10"/>
  <c r="B10" i="7" l="1"/>
  <c r="K148" i="10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C7" i="7" l="1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N14" i="10" l="1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21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D22" i="6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D12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D13" i="7" s="1"/>
  <c r="F11" i="7"/>
  <c r="F13" i="7" s="1"/>
  <c r="E11" i="7"/>
  <c r="E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10" i="7"/>
  <c r="F9" i="7"/>
</calcChain>
</file>

<file path=xl/sharedStrings.xml><?xml version="1.0" encoding="utf-8"?>
<sst xmlns="http://schemas.openxmlformats.org/spreadsheetml/2006/main" count="13137" uniqueCount="5455">
  <si>
    <t>a</t>
    <phoneticPr fontId="6" type="noConversion"/>
  </si>
  <si>
    <t>b</t>
    <phoneticPr fontId="6" type="noConversion"/>
  </si>
  <si>
    <t>C</t>
    <phoneticPr fontId="6" type="noConversion"/>
  </si>
  <si>
    <t>E</t>
    <phoneticPr fontId="6" type="noConversion"/>
  </si>
  <si>
    <t>0.5-2m</t>
    <phoneticPr fontId="6" type="noConversion"/>
  </si>
  <si>
    <t>0.1-0.5m</t>
    <phoneticPr fontId="6" type="noConversion"/>
  </si>
  <si>
    <t>0-0.1m</t>
    <phoneticPr fontId="6" type="noConversion"/>
  </si>
  <si>
    <t>small colonies, broken mat</t>
    <phoneticPr fontId="6" type="noConversion"/>
  </si>
  <si>
    <t>large group, many plants</t>
    <phoneticPr fontId="6" type="noConversion"/>
  </si>
  <si>
    <t>small dense clumps</t>
    <phoneticPr fontId="6" type="noConversion"/>
  </si>
  <si>
    <t>growing singly</t>
    <phoneticPr fontId="6" type="noConversion"/>
  </si>
  <si>
    <t>Thatch:</t>
    <phoneticPr fontId="6" type="noConversion"/>
  </si>
  <si>
    <t>c</t>
    <phoneticPr fontId="6" type="noConversion"/>
  </si>
  <si>
    <t>i</t>
    <phoneticPr fontId="6" type="noConversion"/>
  </si>
  <si>
    <t>p</t>
    <phoneticPr fontId="6" type="noConversion"/>
  </si>
  <si>
    <t>r</t>
    <phoneticPr fontId="6" type="noConversion"/>
  </si>
  <si>
    <t>50-75%</t>
    <phoneticPr fontId="6" type="noConversion"/>
  </si>
  <si>
    <t>25-50%</t>
    <phoneticPr fontId="6" type="noConversion"/>
  </si>
  <si>
    <t>5-25%</t>
    <phoneticPr fontId="6" type="noConversion"/>
  </si>
  <si>
    <t>1-5%</t>
    <phoneticPr fontId="6" type="noConversion"/>
  </si>
  <si>
    <t>Extensive mat</t>
    <phoneticPr fontId="6" type="noConversion"/>
  </si>
  <si>
    <t>Abundance</t>
    <phoneticPr fontId="6" type="noConversion"/>
  </si>
  <si>
    <t>Group</t>
    <phoneticPr fontId="6" type="noConversion"/>
  </si>
  <si>
    <t>B</t>
    <phoneticPr fontId="6" type="noConversion"/>
  </si>
  <si>
    <t>D</t>
    <phoneticPr fontId="6" type="noConversion"/>
  </si>
  <si>
    <t>G</t>
    <phoneticPr fontId="6" type="noConversion"/>
  </si>
  <si>
    <t>H</t>
    <phoneticPr fontId="6" type="noConversion"/>
  </si>
  <si>
    <t>L</t>
    <phoneticPr fontId="6" type="noConversion"/>
  </si>
  <si>
    <t>K</t>
    <phoneticPr fontId="6" type="noConversion"/>
  </si>
  <si>
    <t>X</t>
    <phoneticPr fontId="6" type="noConversion"/>
  </si>
  <si>
    <t>Broadleaf evergreen</t>
    <phoneticPr fontId="6" type="noConversion"/>
  </si>
  <si>
    <t>Broadleaf deciduous</t>
    <phoneticPr fontId="6" type="noConversion"/>
  </si>
  <si>
    <t>Needleleaf evergreen</t>
    <phoneticPr fontId="6" type="noConversion"/>
  </si>
  <si>
    <t>Graminoids</t>
    <phoneticPr fontId="6" type="noConversion"/>
  </si>
  <si>
    <t>Forbs</t>
    <phoneticPr fontId="6" type="noConversion"/>
  </si>
  <si>
    <t>Lichens &amp; mosses</t>
    <phoneticPr fontId="6" type="noConversion"/>
  </si>
  <si>
    <t>Climbers</t>
    <phoneticPr fontId="6" type="noConversion"/>
  </si>
  <si>
    <t>Stem succulents</t>
    <phoneticPr fontId="6" type="noConversion"/>
  </si>
  <si>
    <t>Epiphytes</t>
    <phoneticPr fontId="6" type="noConversion"/>
  </si>
  <si>
    <t xml:space="preserve"> +</t>
    <phoneticPr fontId="6" type="noConversion"/>
  </si>
  <si>
    <t>&lt;5% cover, many individuals</t>
    <phoneticPr fontId="6" type="noConversion"/>
  </si>
  <si>
    <t>&lt;5% cover, few (2-20) individuals</t>
    <phoneticPr fontId="6" type="noConversion"/>
  </si>
  <si>
    <t>&lt;5% cover, single</t>
    <phoneticPr fontId="6" type="noConversion"/>
  </si>
  <si>
    <t>Life Form</t>
    <phoneticPr fontId="6" type="noConversion"/>
  </si>
  <si>
    <t>Height</t>
    <phoneticPr fontId="6" type="noConversion"/>
  </si>
  <si>
    <t>Sociability</t>
    <phoneticPr fontId="6" type="noConversion"/>
  </si>
  <si>
    <t>&gt;35m</t>
    <phoneticPr fontId="6" type="noConversion"/>
  </si>
  <si>
    <t>20-35m</t>
    <phoneticPr fontId="6" type="noConversion"/>
  </si>
  <si>
    <t>10-20m</t>
    <phoneticPr fontId="6" type="noConversion"/>
  </si>
  <si>
    <t>5-10m</t>
    <phoneticPr fontId="6" type="noConversion"/>
  </si>
  <si>
    <t>2-5m</t>
    <phoneticPr fontId="6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</si>
  <si>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</si>
  <si>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</si>
  <si>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</si>
  <si>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</si>
  <si>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</si>
  <si>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</si>
  <si>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</si>
  <si>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</si>
  <si>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</si>
  <si>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</si>
  <si>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</si>
  <si>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</si>
  <si>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</si>
  <si>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</si>
  <si>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</si>
  <si>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</si>
  <si>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</si>
  <si>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</si>
  <si>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</si>
  <si>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</si>
  <si>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</si>
  <si>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</si>
  <si>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</si>
  <si>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</si>
  <si>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</si>
  <si>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</si>
  <si>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</si>
  <si>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</si>
  <si>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</si>
  <si>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</si>
  <si>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</si>
  <si>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</si>
  <si>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</si>
  <si>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</si>
  <si>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</si>
  <si>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</si>
  <si>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</si>
  <si>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</si>
  <si>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</si>
  <si>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</si>
  <si>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</si>
  <si>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</si>
  <si>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</si>
  <si>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</si>
  <si>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</si>
  <si>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</si>
  <si>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</si>
  <si>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</si>
  <si>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</si>
  <si>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</si>
  <si>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</si>
  <si>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</si>
  <si>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</si>
  <si>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</si>
  <si>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</si>
  <si>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</si>
  <si>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</si>
  <si>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</si>
  <si>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</si>
  <si>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</si>
  <si>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</si>
  <si>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</si>
  <si>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</si>
  <si>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</si>
  <si>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</si>
  <si>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</si>
  <si>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</si>
  <si>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</si>
  <si>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</si>
  <si>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</si>
  <si>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</si>
  <si>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</si>
  <si>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</si>
  <si>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</si>
  <si>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</si>
  <si>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</si>
  <si>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</si>
  <si>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</si>
  <si>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</si>
  <si>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</si>
  <si>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</si>
  <si>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</si>
  <si>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</si>
  <si>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</si>
  <si>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</si>
  <si>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</si>
  <si>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</si>
  <si>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</si>
  <si>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</si>
  <si>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</si>
  <si>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</si>
  <si>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</si>
  <si>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</si>
  <si>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</si>
  <si>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</si>
  <si>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</si>
  <si>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</si>
  <si>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</si>
  <si>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</si>
  <si>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</si>
  <si>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</si>
  <si>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</si>
  <si>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</si>
  <si>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</si>
  <si>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</si>
  <si>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</si>
  <si>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</si>
  <si>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</si>
  <si>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</si>
  <si>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</si>
  <si>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</si>
  <si>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</si>
  <si>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</si>
  <si>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</si>
  <si>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</si>
  <si>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</si>
  <si>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</si>
  <si>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</si>
  <si>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</si>
  <si>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</si>
  <si>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</si>
  <si>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</si>
  <si>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</si>
  <si>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</si>
  <si>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</si>
  <si>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</si>
  <si>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</si>
  <si>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</si>
  <si>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</si>
  <si>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</si>
  <si>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</si>
  <si>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</si>
  <si>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</si>
  <si>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</si>
  <si>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</si>
  <si>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</si>
  <si>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</si>
  <si>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</si>
  <si>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</si>
  <si>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</si>
  <si>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</si>
  <si>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</si>
  <si>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</si>
  <si>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</si>
  <si>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</si>
  <si>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</si>
  <si>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</si>
  <si>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</si>
  <si>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</si>
  <si>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</si>
  <si>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</si>
  <si>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</si>
  <si>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</si>
  <si>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</si>
  <si>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</si>
  <si>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</si>
  <si>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</si>
  <si>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</si>
  <si>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</si>
  <si>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</si>
  <si>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</si>
  <si>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</si>
  <si>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</si>
  <si>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</si>
  <si>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</si>
  <si>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</si>
  <si>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</si>
  <si>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</si>
  <si>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</si>
  <si>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</si>
  <si>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</si>
  <si>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</si>
  <si>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</si>
  <si>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</si>
  <si>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</si>
  <si>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</si>
  <si>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</si>
  <si>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</si>
  <si>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</si>
  <si>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</si>
  <si>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</si>
  <si>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</si>
  <si>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</si>
  <si>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</si>
  <si>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</si>
  <si>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</si>
  <si>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</si>
  <si>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</si>
  <si>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</si>
  <si>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</si>
  <si>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</si>
  <si>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</si>
  <si>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</si>
  <si>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</si>
  <si>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</si>
  <si>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</si>
  <si>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</si>
  <si>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</si>
  <si>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</si>
  <si>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</si>
  <si>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</si>
  <si>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</si>
  <si>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</si>
  <si>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</si>
  <si>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</si>
  <si>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</si>
  <si>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</si>
  <si>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</si>
  <si>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</si>
  <si>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</si>
  <si>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</si>
  <si>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</si>
  <si>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</si>
  <si>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</si>
  <si>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</si>
  <si>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</si>
  <si>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</si>
  <si>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</si>
  <si>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</si>
  <si>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</si>
  <si>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</si>
  <si>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</si>
  <si>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</si>
  <si>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</si>
  <si>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</si>
  <si>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</si>
  <si>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</si>
  <si>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</si>
  <si>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</si>
  <si>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</si>
  <si>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</si>
  <si>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</si>
  <si>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</si>
  <si>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</si>
  <si>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</si>
  <si>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</si>
  <si>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</si>
  <si>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</si>
  <si>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</si>
  <si>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</si>
  <si>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</si>
  <si>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</si>
  <si>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</si>
  <si>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</si>
  <si>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</si>
  <si>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</si>
  <si>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</si>
  <si>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</si>
  <si>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</si>
  <si>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</si>
  <si>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</si>
  <si>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</si>
  <si>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</si>
  <si>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</si>
  <si>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</si>
  <si>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</si>
  <si>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</si>
  <si>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</si>
  <si>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</si>
  <si>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</si>
  <si>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</si>
  <si>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</si>
  <si>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</si>
  <si>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</si>
  <si>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</si>
  <si>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</si>
  <si>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</si>
  <si>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</si>
  <si>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</si>
  <si>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</si>
  <si>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</si>
  <si>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</si>
  <si>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</si>
  <si>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</si>
  <si>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</si>
  <si>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</si>
  <si>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</si>
  <si>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</si>
  <si>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</si>
  <si>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</si>
  <si>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</si>
  <si>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</si>
  <si>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</si>
  <si>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</si>
  <si>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</si>
  <si>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</si>
  <si>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</si>
  <si>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</si>
  <si>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</si>
  <si>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</si>
  <si>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</si>
  <si>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</si>
  <si>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</si>
  <si>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</si>
  <si>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</si>
  <si>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</si>
  <si>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</si>
  <si>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</si>
  <si>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</si>
  <si>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</si>
  <si>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</si>
  <si>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</si>
  <si>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</si>
  <si>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</si>
  <si>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</si>
  <si>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</si>
  <si>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</si>
  <si>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</si>
  <si>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</si>
  <si>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</si>
  <si>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</si>
  <si>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</si>
  <si>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</si>
  <si>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</si>
  <si>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</si>
  <si>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</si>
  <si>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</si>
  <si>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</si>
  <si>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</si>
  <si>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</si>
  <si>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</si>
  <si>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</si>
  <si>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</si>
  <si>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</si>
  <si>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</si>
  <si>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</si>
  <si>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</si>
  <si>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</si>
  <si>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</si>
  <si>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</si>
  <si>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</si>
  <si>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</si>
  <si>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</si>
  <si>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</si>
  <si>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</si>
  <si>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</si>
  <si>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</si>
  <si>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</si>
  <si>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</si>
  <si>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</si>
  <si>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</si>
  <si>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</si>
  <si>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</si>
  <si>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</si>
  <si>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</si>
  <si>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</si>
  <si>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</si>
  <si>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</si>
  <si>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</si>
  <si>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</si>
  <si>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</si>
  <si>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</si>
  <si>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</si>
  <si>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</si>
  <si>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</si>
  <si>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</si>
  <si>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</si>
  <si>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</si>
  <si>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</si>
  <si>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</si>
  <si>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</si>
  <si>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</si>
  <si>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</si>
  <si>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</si>
  <si>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</si>
  <si>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</si>
  <si>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</si>
  <si>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</si>
  <si>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</si>
  <si>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</si>
  <si>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</si>
  <si>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</si>
  <si>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</si>
  <si>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</si>
  <si>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</si>
  <si>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</si>
  <si>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</si>
  <si>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</si>
  <si>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</si>
  <si>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</si>
  <si>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</si>
  <si>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</si>
  <si>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</si>
  <si>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</si>
  <si>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</si>
  <si>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</si>
  <si>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</si>
  <si>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</si>
  <si>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</si>
  <si>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</si>
  <si>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</si>
  <si>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</si>
  <si>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</si>
  <si>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</si>
  <si>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</si>
  <si>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</si>
  <si>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</si>
  <si>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</si>
  <si>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</si>
  <si>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</si>
  <si>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</si>
  <si>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</si>
  <si>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</si>
  <si>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</si>
  <si>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</si>
  <si>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</si>
  <si>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</si>
  <si>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</si>
  <si>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</si>
  <si>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</si>
  <si>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</si>
  <si>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</si>
  <si>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</si>
  <si>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</si>
  <si>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</si>
  <si>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</si>
  <si>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</si>
  <si>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</si>
  <si>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</si>
  <si>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</si>
  <si>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</si>
  <si>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</si>
  <si>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</si>
  <si>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</si>
  <si>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</si>
  <si>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</si>
  <si>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</si>
  <si>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</si>
  <si>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</si>
  <si>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</si>
  <si>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</si>
  <si>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</si>
  <si>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</si>
  <si>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</si>
  <si>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</si>
  <si>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</si>
  <si>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</si>
  <si>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</si>
  <si>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</si>
  <si>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</si>
  <si>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</si>
  <si>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</si>
  <si>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</si>
  <si>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</si>
  <si>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</si>
  <si>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</si>
  <si>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</si>
  <si>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</si>
  <si>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</si>
  <si>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</si>
  <si>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</si>
  <si>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</si>
  <si>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</si>
  <si>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</si>
  <si>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</si>
  <si>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</si>
  <si>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</si>
  <si>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</si>
  <si>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</si>
  <si>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</si>
  <si>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</si>
  <si>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</si>
  <si>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</si>
  <si>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</si>
  <si>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</si>
  <si>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</si>
  <si>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</si>
  <si>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</si>
  <si>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</si>
  <si>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</si>
  <si>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</si>
  <si>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</si>
  <si>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</si>
  <si>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</si>
  <si>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</si>
  <si>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</si>
  <si>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</si>
  <si>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</si>
  <si>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</si>
  <si>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</si>
  <si>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</si>
  <si>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</si>
  <si>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</si>
  <si>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</si>
  <si>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</si>
  <si>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</si>
  <si>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</si>
  <si>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</si>
  <si>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</si>
  <si>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</si>
  <si>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</si>
  <si>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</si>
  <si>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</si>
  <si>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</si>
  <si>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</si>
  <si>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</si>
  <si>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</si>
  <si>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</si>
  <si>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</si>
  <si>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</si>
  <si>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</si>
  <si>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</si>
  <si>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</si>
  <si>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</si>
  <si>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</si>
  <si>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</si>
  <si>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</si>
  <si>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</si>
  <si>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</si>
  <si>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</si>
  <si>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</si>
  <si>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</si>
  <si>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</si>
  <si>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</si>
  <si>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</si>
  <si>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</si>
  <si>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</si>
  <si>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</si>
  <si>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</si>
  <si>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</si>
  <si>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</si>
  <si>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</si>
  <si>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</si>
  <si>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</si>
  <si>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</si>
  <si>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</si>
  <si>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</si>
  <si>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</si>
  <si>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</si>
  <si>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</si>
  <si>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</si>
  <si>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</si>
  <si>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</si>
  <si>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</si>
  <si>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</si>
  <si>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</si>
  <si>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</si>
  <si>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</si>
  <si>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</si>
  <si>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</si>
  <si>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</si>
  <si>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</si>
  <si>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</si>
  <si>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</si>
  <si>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</si>
  <si>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</si>
  <si>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</si>
  <si>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</si>
  <si>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</si>
  <si>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</si>
  <si>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</si>
  <si>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</si>
  <si>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</si>
  <si>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</si>
  <si>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</si>
  <si>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</si>
  <si>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</si>
  <si>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</si>
  <si>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</si>
  <si>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</si>
  <si>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</si>
  <si>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</si>
  <si>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</si>
  <si>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</si>
  <si>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</si>
  <si>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</si>
  <si>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</si>
  <si>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</si>
  <si>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</si>
  <si>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</si>
  <si>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</si>
  <si>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</si>
  <si>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</si>
  <si>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</si>
  <si>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</si>
  <si>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</si>
  <si>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</si>
  <si>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</si>
  <si>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</si>
  <si>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</si>
  <si>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</si>
  <si>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</si>
  <si>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</si>
  <si>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</si>
  <si>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</si>
  <si>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</si>
  <si>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</si>
  <si>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</si>
  <si>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</si>
  <si>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</si>
  <si>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</si>
  <si>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</si>
  <si>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</si>
  <si>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</si>
  <si>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</si>
  <si>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</si>
  <si>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</si>
  <si>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</si>
  <si>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</si>
  <si>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</si>
  <si>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</si>
  <si>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</si>
  <si>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</si>
  <si>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</si>
  <si>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</si>
  <si>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</si>
  <si>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</si>
  <si>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</si>
  <si>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</si>
  <si>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</si>
  <si>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</si>
  <si>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</si>
  <si>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</si>
  <si>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</si>
  <si>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</si>
  <si>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</si>
  <si>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</si>
  <si>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</si>
  <si>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</si>
  <si>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</si>
  <si>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</si>
  <si>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</si>
  <si>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</si>
  <si>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</si>
  <si>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</si>
  <si>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</si>
  <si>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</si>
  <si>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</si>
  <si>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</si>
  <si>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</si>
  <si>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</si>
  <si>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</si>
  <si>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</si>
  <si>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</si>
  <si>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</si>
  <si>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</si>
  <si>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</si>
  <si>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</si>
  <si>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</si>
  <si>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</si>
  <si>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</si>
  <si>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</si>
  <si>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</si>
  <si>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</si>
  <si>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</si>
  <si>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</si>
  <si>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</si>
  <si>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</si>
  <si>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</si>
  <si>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</si>
  <si>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</si>
  <si>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</si>
  <si>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</si>
  <si>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</si>
  <si>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</si>
  <si>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</si>
  <si>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</si>
  <si>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</si>
  <si>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</si>
  <si>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</si>
  <si>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</si>
  <si>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</si>
  <si>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</si>
  <si>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</si>
  <si>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</si>
  <si>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</si>
  <si>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</si>
  <si>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</si>
  <si>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</si>
  <si>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</si>
  <si>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</si>
  <si>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</si>
  <si>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</si>
  <si>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</si>
  <si>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</si>
  <si>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</si>
  <si>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</si>
  <si>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</si>
  <si>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</si>
  <si>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</si>
  <si>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</si>
  <si>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</si>
  <si>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</si>
  <si>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</si>
  <si>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</si>
  <si>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</si>
  <si>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</si>
  <si>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</si>
  <si>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</si>
  <si>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</si>
  <si>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</si>
  <si>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</si>
  <si>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</si>
  <si>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</si>
  <si>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</si>
  <si>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</si>
  <si>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</si>
  <si>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</si>
  <si>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</si>
  <si>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</si>
  <si>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</si>
  <si>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</si>
  <si>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</si>
  <si>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</si>
  <si>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</si>
  <si>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</si>
  <si>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</si>
  <si>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</si>
  <si>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</si>
  <si>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</si>
  <si>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</si>
  <si>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</si>
  <si>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</si>
  <si>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</si>
  <si>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</si>
  <si>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</si>
  <si>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</si>
  <si>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</si>
  <si>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</si>
  <si>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</si>
  <si>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</si>
  <si>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</si>
  <si>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</si>
  <si>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</si>
  <si>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</si>
  <si>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</si>
  <si>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</si>
  <si>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</si>
  <si>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</si>
  <si>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</si>
  <si>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</si>
  <si>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</si>
  <si>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</si>
  <si>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</si>
  <si>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</si>
  <si>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</si>
  <si>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</si>
  <si>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</si>
  <si>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</si>
  <si>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</si>
  <si>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</si>
  <si>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</si>
  <si>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</si>
  <si>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</si>
  <si>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</si>
  <si>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</si>
  <si>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</si>
  <si>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</si>
  <si>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</si>
  <si>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</si>
  <si>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</si>
  <si>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</si>
  <si>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</si>
  <si>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</si>
  <si>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</si>
  <si>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</si>
  <si>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</si>
  <si>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</si>
  <si>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</si>
  <si>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</si>
  <si>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</si>
  <si>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</si>
  <si>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</si>
  <si>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</si>
  <si>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</si>
  <si>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</si>
  <si>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</si>
  <si>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</si>
  <si>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</si>
  <si>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</si>
  <si>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</si>
  <si>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</si>
  <si>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</si>
  <si>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</si>
  <si>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</si>
  <si>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</si>
  <si>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</si>
  <si>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</si>
  <si>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</si>
  <si>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</si>
  <si>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</si>
  <si>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</si>
  <si>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</si>
  <si>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</si>
  <si>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</si>
  <si>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</si>
  <si>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</si>
  <si>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</si>
  <si>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</si>
  <si>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</si>
  <si>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</si>
  <si>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</si>
  <si>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</si>
  <si>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</si>
  <si>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</si>
  <si>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</si>
  <si>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</si>
  <si>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</si>
  <si>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</si>
  <si>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</si>
  <si>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</si>
  <si>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</si>
  <si>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</si>
  <si>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</si>
  <si>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</si>
  <si>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</si>
  <si>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</si>
  <si>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</si>
  <si>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</si>
  <si>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</si>
  <si>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</si>
  <si>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</si>
  <si>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</si>
  <si>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</si>
  <si>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</si>
  <si>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</si>
  <si>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</si>
  <si>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</si>
  <si>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</si>
  <si>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</si>
  <si>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</si>
  <si>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</si>
  <si>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</si>
  <si>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</si>
  <si>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</si>
  <si>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</si>
  <si>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</si>
  <si>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</si>
  <si>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</si>
  <si>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</si>
  <si>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</si>
  <si>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</si>
  <si>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</si>
  <si>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</si>
  <si>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</si>
  <si>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</si>
  <si>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</si>
  <si>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</si>
  <si>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</si>
  <si>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</si>
  <si>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</si>
  <si>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</si>
  <si>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</si>
  <si>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</si>
  <si>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</si>
  <si>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</si>
  <si>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</si>
  <si>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</si>
  <si>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</si>
  <si>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</si>
  <si>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</si>
  <si>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</si>
  <si>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</si>
  <si>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</si>
  <si>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</si>
  <si>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</si>
  <si>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</si>
  <si>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</si>
  <si>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</si>
  <si>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</si>
  <si>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</si>
  <si>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</si>
  <si>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</si>
  <si>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</si>
  <si>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</si>
  <si>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</si>
  <si>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</si>
  <si>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</si>
  <si>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</si>
  <si>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</si>
  <si>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</si>
  <si>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</si>
  <si>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</si>
  <si>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</si>
  <si>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</si>
  <si>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</si>
  <si>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</si>
  <si>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</si>
  <si>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</si>
  <si>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</si>
  <si>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</si>
  <si>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</si>
  <si>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</si>
  <si>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</si>
  <si>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</si>
  <si>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</si>
  <si>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</si>
  <si>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</si>
  <si>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</si>
  <si>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</si>
  <si>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</si>
  <si>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</si>
  <si>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</si>
  <si>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</si>
  <si>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</si>
  <si>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</si>
  <si>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</si>
  <si>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</si>
  <si>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</si>
  <si>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</si>
  <si>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</si>
  <si>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</si>
  <si>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</si>
  <si>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</si>
  <si>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</si>
  <si>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</si>
  <si>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</si>
  <si>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</si>
  <si>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</si>
  <si>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</si>
  <si>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</si>
  <si>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</si>
  <si>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</si>
  <si>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</si>
  <si>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</si>
  <si>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</si>
  <si>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</si>
  <si>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</si>
  <si>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</si>
  <si>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</si>
  <si>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</si>
  <si>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</si>
  <si>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</si>
  <si>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</si>
  <si>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</si>
  <si>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</si>
  <si>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</si>
  <si>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</si>
  <si>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</si>
  <si>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</si>
  <si>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</si>
  <si>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</si>
  <si>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</si>
  <si>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</si>
  <si>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</si>
  <si>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</si>
  <si>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</si>
  <si>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</si>
  <si>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</si>
  <si>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</si>
  <si>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</si>
  <si>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</si>
  <si>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</si>
  <si>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</si>
  <si>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</si>
  <si>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</si>
  <si>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</si>
  <si>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</si>
  <si>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</si>
  <si>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</si>
  <si>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</si>
  <si>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</si>
  <si>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</si>
  <si>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</si>
  <si>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</si>
  <si>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</si>
  <si>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</si>
  <si>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</si>
  <si>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</si>
  <si>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</si>
  <si>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</si>
  <si>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</si>
  <si>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</si>
  <si>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</si>
  <si>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</si>
  <si>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</si>
  <si>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</si>
  <si>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</si>
  <si>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</si>
  <si>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</si>
  <si>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</si>
  <si>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</si>
  <si>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</si>
  <si>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</si>
  <si>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</si>
  <si>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</si>
  <si>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</si>
  <si>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</si>
  <si>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</si>
  <si>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</si>
  <si>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</si>
  <si>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</si>
  <si>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</si>
  <si>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</si>
  <si>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</si>
  <si>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</si>
  <si>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</si>
  <si>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</si>
  <si>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</si>
  <si>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</si>
  <si>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</si>
  <si>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</si>
  <si>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</si>
  <si>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</si>
  <si>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</si>
  <si>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</si>
  <si>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</si>
  <si>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</si>
  <si>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</si>
  <si>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</si>
  <si>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</si>
  <si>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</si>
  <si>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</si>
  <si>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</si>
  <si>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</si>
  <si>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</si>
  <si>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</si>
  <si>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</si>
  <si>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</si>
  <si>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</si>
  <si>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</si>
  <si>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</si>
  <si>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</si>
  <si>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</si>
  <si>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</si>
  <si>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</si>
  <si>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</si>
  <si>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</si>
  <si>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</si>
  <si>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</si>
  <si>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</si>
  <si>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</si>
  <si>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</si>
  <si>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</si>
  <si>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</si>
  <si>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</si>
  <si>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</si>
  <si>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</si>
  <si>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</si>
  <si>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</si>
  <si>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</si>
  <si>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</si>
  <si>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</si>
  <si>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</si>
  <si>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</si>
  <si>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</si>
  <si>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</si>
  <si>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</si>
  <si>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</si>
  <si>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</si>
  <si>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</si>
  <si>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</si>
  <si>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</si>
  <si>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</si>
  <si>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</si>
  <si>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</si>
  <si>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</si>
  <si>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</si>
  <si>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</si>
  <si>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</si>
  <si>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</si>
  <si>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</si>
  <si>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</si>
  <si>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</si>
  <si>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</si>
  <si>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</si>
  <si>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</si>
  <si>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</si>
  <si>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</si>
  <si>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</si>
  <si>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</si>
  <si>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</si>
  <si>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</si>
  <si>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</si>
  <si>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</si>
  <si>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</si>
  <si>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</si>
  <si>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</si>
  <si>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</si>
  <si>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</si>
  <si>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</si>
  <si>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</si>
  <si>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</si>
  <si>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</si>
  <si>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</si>
  <si>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</si>
  <si>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</si>
  <si>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</si>
  <si>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</si>
  <si>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</si>
  <si>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</si>
  <si>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</si>
  <si>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</si>
  <si>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</si>
  <si>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</si>
  <si>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</si>
  <si>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</si>
  <si>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</si>
  <si>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</si>
  <si>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</si>
  <si>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</si>
  <si>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</si>
  <si>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</si>
  <si>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</si>
  <si>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</si>
  <si>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</si>
  <si>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</si>
  <si>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</si>
  <si>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</si>
  <si>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</si>
  <si>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</si>
  <si>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</si>
  <si>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</si>
  <si>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</si>
  <si>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</si>
  <si>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</si>
  <si>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</si>
  <si>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</si>
  <si>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</si>
  <si>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</si>
  <si>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</si>
  <si>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</si>
  <si>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</si>
  <si>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</si>
  <si>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</si>
  <si>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</si>
  <si>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</si>
  <si>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</si>
  <si>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</si>
  <si>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</si>
  <si>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</si>
  <si>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</si>
  <si>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</si>
  <si>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</si>
  <si>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</si>
  <si>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</si>
  <si>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</si>
  <si>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</si>
  <si>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</si>
  <si>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</si>
  <si>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</si>
  <si>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</si>
  <si>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</si>
  <si>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</si>
  <si>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</si>
  <si>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</si>
  <si>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</si>
  <si>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</si>
  <si>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</si>
  <si>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</si>
  <si>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</si>
  <si>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</si>
  <si>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</si>
  <si>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</si>
  <si>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</si>
  <si>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</si>
  <si>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</si>
  <si>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</si>
  <si>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</si>
  <si>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</si>
  <si>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</si>
  <si>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</si>
  <si>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</si>
  <si>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</si>
  <si>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</si>
  <si>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</si>
  <si>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</si>
  <si>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</si>
  <si>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</si>
  <si>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</si>
  <si>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</si>
  <si>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</si>
  <si>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</si>
  <si>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</si>
  <si>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</si>
  <si>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</si>
  <si>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</si>
  <si>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</si>
  <si>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</si>
  <si>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</si>
  <si>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</si>
  <si>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</si>
  <si>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</si>
  <si>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</si>
  <si>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</si>
  <si>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</si>
  <si>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</si>
  <si>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</si>
  <si>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</si>
  <si>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</si>
  <si>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</si>
  <si>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</si>
  <si>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</si>
  <si>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</si>
  <si>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</si>
  <si>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</si>
  <si>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</si>
  <si>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</si>
  <si>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</si>
  <si>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</si>
  <si>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</si>
  <si>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</si>
  <si>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</si>
  <si>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</si>
  <si>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</si>
  <si>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</si>
  <si>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</si>
  <si>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</si>
  <si>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</si>
  <si>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</si>
  <si>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</si>
  <si>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</si>
  <si>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</si>
  <si>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</si>
  <si>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</si>
  <si>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</si>
  <si>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</si>
  <si>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</si>
  <si>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</si>
  <si>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</si>
  <si>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</si>
  <si>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</si>
  <si>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</si>
  <si>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</si>
  <si>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</si>
  <si>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</si>
  <si>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</si>
  <si>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</si>
  <si>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</si>
  <si>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</si>
  <si>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</si>
  <si>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</si>
  <si>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</si>
  <si>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</si>
  <si>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</si>
  <si>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</si>
  <si>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</si>
  <si>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</si>
  <si>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</si>
  <si>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</si>
  <si>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</si>
  <si>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</si>
  <si>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</si>
  <si>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</si>
  <si>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</si>
  <si>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</si>
  <si>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</si>
  <si>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</si>
  <si>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</si>
  <si>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</si>
  <si>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</si>
  <si>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</si>
  <si>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</si>
  <si>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</si>
  <si>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</si>
  <si>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</si>
  <si>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</si>
  <si>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</si>
  <si>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</si>
  <si>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</si>
  <si>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</si>
  <si>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</si>
  <si>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</si>
  <si>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</si>
  <si>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</si>
  <si>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</si>
  <si>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</si>
  <si>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</si>
  <si>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</si>
  <si>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</si>
  <si>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</si>
  <si>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</si>
  <si>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</si>
  <si>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</si>
  <si>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</si>
  <si>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</si>
  <si>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</si>
  <si>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</si>
  <si>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</si>
  <si>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</si>
  <si>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</si>
  <si>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</si>
  <si>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</si>
  <si>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</si>
  <si>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</si>
  <si>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</si>
  <si>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</si>
  <si>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</si>
  <si>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</si>
  <si>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</si>
  <si>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</si>
  <si>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</si>
  <si>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</si>
  <si>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</si>
  <si>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</si>
  <si>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</si>
  <si>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</si>
  <si>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</si>
  <si>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</si>
  <si>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</si>
  <si>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</si>
  <si>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</si>
  <si>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</si>
  <si>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</si>
  <si>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</si>
  <si>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</si>
  <si>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</si>
  <si>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</si>
  <si>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</si>
  <si>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</si>
  <si>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</si>
  <si>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</si>
  <si>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</si>
  <si>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</si>
  <si>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</si>
  <si>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</si>
  <si>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</si>
  <si>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</si>
  <si>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</si>
  <si>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</si>
  <si>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</si>
  <si>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</si>
  <si>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</si>
  <si>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</si>
  <si>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</si>
  <si>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</si>
  <si>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</si>
  <si>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</si>
  <si>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</si>
  <si>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</si>
  <si>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</si>
  <si>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</si>
  <si>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</si>
  <si>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</si>
  <si>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</si>
  <si>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</si>
  <si>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</si>
  <si>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</si>
  <si>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</si>
  <si>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</si>
  <si>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</si>
  <si>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</si>
  <si>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</si>
  <si>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</si>
  <si>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</si>
  <si>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</si>
  <si>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</si>
  <si>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</si>
  <si>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</si>
  <si>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</si>
  <si>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</si>
  <si>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</si>
  <si>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</si>
  <si>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</si>
  <si>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</si>
  <si>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</si>
  <si>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</si>
  <si>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</si>
  <si>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</si>
  <si>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</si>
  <si>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</si>
  <si>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</si>
  <si>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</si>
  <si>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</si>
  <si>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</si>
  <si>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</si>
  <si>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</si>
  <si>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</si>
  <si>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</si>
  <si>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</si>
  <si>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</si>
  <si>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</si>
  <si>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</si>
  <si>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</si>
  <si>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</si>
  <si>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</si>
  <si>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</si>
  <si>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</si>
  <si>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</si>
  <si>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</si>
  <si>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</si>
  <si>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</si>
  <si>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</si>
  <si>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</si>
  <si>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</si>
  <si>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</si>
  <si>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</si>
  <si>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</si>
  <si>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</si>
  <si>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</si>
  <si>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</si>
  <si>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</si>
  <si>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</si>
  <si>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</si>
  <si>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</si>
  <si>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</si>
  <si>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</si>
  <si>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</si>
  <si>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</si>
  <si>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</si>
  <si>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</si>
  <si>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</si>
  <si>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</si>
  <si>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</si>
  <si>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</si>
  <si>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</si>
  <si>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</si>
  <si>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</si>
  <si>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</si>
  <si>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</si>
  <si>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</si>
  <si>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</si>
  <si>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</si>
  <si>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</si>
  <si>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</si>
  <si>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</si>
  <si>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</si>
  <si>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</si>
  <si>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</si>
  <si>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</si>
  <si>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</si>
  <si>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</si>
  <si>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</si>
  <si>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</si>
  <si>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</si>
  <si>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</si>
  <si>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</si>
  <si>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</si>
  <si>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</si>
  <si>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</si>
  <si>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</si>
  <si>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</si>
  <si>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</si>
  <si>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</si>
  <si>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</si>
  <si>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</si>
  <si>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</si>
  <si>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</si>
  <si>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</si>
  <si>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</si>
  <si>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</si>
  <si>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</si>
  <si>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</si>
  <si>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</si>
  <si>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</si>
  <si>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</si>
  <si>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</si>
  <si>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</si>
  <si>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</si>
  <si>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</si>
  <si>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</si>
  <si>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</si>
  <si>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</si>
  <si>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</si>
  <si>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</si>
  <si>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</si>
  <si>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</si>
  <si>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</si>
  <si>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</si>
  <si>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</si>
  <si>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</si>
  <si>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</si>
  <si>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</si>
  <si>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</si>
  <si>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</si>
  <si>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</si>
  <si>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</si>
  <si>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</si>
  <si>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</si>
  <si>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</si>
  <si>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</si>
  <si>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</si>
  <si>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</si>
  <si>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</si>
  <si>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</si>
  <si>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</si>
  <si>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</si>
  <si>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</si>
  <si>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</si>
  <si>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</si>
  <si>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</si>
  <si>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</si>
  <si>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</si>
  <si>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</si>
  <si>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</si>
  <si>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</si>
  <si>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</si>
  <si>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</si>
  <si>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</si>
  <si>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</si>
  <si>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</si>
  <si>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</si>
  <si>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</si>
  <si>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</si>
  <si>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</si>
  <si>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</si>
  <si>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</si>
  <si>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</si>
  <si>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</si>
  <si>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</si>
  <si>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</si>
  <si>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</si>
  <si>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</si>
  <si>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</si>
  <si>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</si>
  <si>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</si>
  <si>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</si>
  <si>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</si>
  <si>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</si>
  <si>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</si>
  <si>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</si>
  <si>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</si>
  <si>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</si>
  <si>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</si>
  <si>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</si>
  <si>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</si>
  <si>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</si>
  <si>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</si>
  <si>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</si>
  <si>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</si>
  <si>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</si>
  <si>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</si>
  <si>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</si>
  <si>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</si>
  <si>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</si>
  <si>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</si>
  <si>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</si>
  <si>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</si>
  <si>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</si>
  <si>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</si>
  <si>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</si>
  <si>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</si>
  <si>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</si>
  <si>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</si>
  <si>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</si>
  <si>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</si>
  <si>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</si>
  <si>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</si>
  <si>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</si>
  <si>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</si>
  <si>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</si>
  <si>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</si>
  <si>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</si>
  <si>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</si>
  <si>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</si>
  <si>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</si>
  <si>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</si>
  <si>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</si>
  <si>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</si>
  <si>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</si>
  <si>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</si>
  <si>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</si>
  <si>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</si>
  <si>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</si>
  <si>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</si>
  <si>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</si>
  <si>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</si>
  <si>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</si>
  <si>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</si>
  <si>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</si>
  <si>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</si>
  <si>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</si>
  <si>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</si>
  <si>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</si>
  <si>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</si>
  <si>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</si>
  <si>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</si>
  <si>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</si>
  <si>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</si>
  <si>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</si>
  <si>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</si>
  <si>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</si>
  <si>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</si>
  <si>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</si>
  <si>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</si>
  <si>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</si>
  <si>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</si>
  <si>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</si>
  <si>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</si>
  <si>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</si>
  <si>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</si>
  <si>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</si>
  <si>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</si>
  <si>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</si>
  <si>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</si>
  <si>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</si>
  <si>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</si>
  <si>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</si>
  <si>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</si>
  <si>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</si>
  <si>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</si>
  <si>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</si>
  <si>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</si>
  <si>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</si>
  <si>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</si>
  <si>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</si>
  <si>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</si>
  <si>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</si>
  <si>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</si>
  <si>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</si>
  <si>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</si>
  <si>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</si>
  <si>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</si>
  <si>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</si>
  <si>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</si>
  <si>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</si>
  <si>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</si>
  <si>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</si>
  <si>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</si>
  <si>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</si>
  <si>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</si>
  <si>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</si>
  <si>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</si>
  <si>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</si>
  <si>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</si>
  <si>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</si>
  <si>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</si>
  <si>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</si>
  <si>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</si>
  <si>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</si>
  <si>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</si>
  <si>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</si>
  <si>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</si>
  <si>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</si>
  <si>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</si>
  <si>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</si>
  <si>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</si>
  <si>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</si>
  <si>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</si>
  <si>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</si>
  <si>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</si>
  <si>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</si>
  <si>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</si>
  <si>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</si>
  <si>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</si>
  <si>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</si>
  <si>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</si>
  <si>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</si>
  <si>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</si>
  <si>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</si>
  <si>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</si>
  <si>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</si>
  <si>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</si>
  <si>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</si>
  <si>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</si>
  <si>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</si>
  <si>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</si>
  <si>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</si>
  <si>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</si>
  <si>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</si>
  <si>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</si>
  <si>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</si>
  <si>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</si>
  <si>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</si>
  <si>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</si>
  <si>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</si>
  <si>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</si>
  <si>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</si>
  <si>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</si>
  <si>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</si>
  <si>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</si>
  <si>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</si>
  <si>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</si>
  <si>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</si>
  <si>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</si>
  <si>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</si>
  <si>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</si>
  <si>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</si>
  <si>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</si>
  <si>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</si>
  <si>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</si>
  <si>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</si>
  <si>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</si>
  <si>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</si>
  <si>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</si>
  <si>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</si>
  <si>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</si>
  <si>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</si>
  <si>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</si>
  <si>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</si>
  <si>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</si>
  <si>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</si>
  <si>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</si>
  <si>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</si>
  <si>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</si>
  <si>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</si>
  <si>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</si>
  <si>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</si>
  <si>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</si>
  <si>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</si>
  <si>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</si>
  <si>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</si>
  <si>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</si>
  <si>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</si>
  <si>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</si>
  <si>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</si>
  <si>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</si>
  <si>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</si>
  <si>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</si>
  <si>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</si>
  <si>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</si>
  <si>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</si>
  <si>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</si>
  <si>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</si>
  <si>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</si>
  <si>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</si>
  <si>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</si>
  <si>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</si>
  <si>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</si>
  <si>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</si>
  <si>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</si>
  <si>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</si>
  <si>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</si>
  <si>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</si>
  <si>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</si>
  <si>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</si>
  <si>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</si>
  <si>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</si>
  <si>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</si>
  <si>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</si>
  <si>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</si>
  <si>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</si>
  <si>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</si>
  <si>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</si>
  <si>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</si>
  <si>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</si>
  <si>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</si>
  <si>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</si>
  <si>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</si>
  <si>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</si>
  <si>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</si>
  <si>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</si>
  <si>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</si>
  <si>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</si>
  <si>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</si>
  <si>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</si>
  <si>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</si>
  <si>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</si>
  <si>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</si>
  <si>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</si>
  <si>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</si>
  <si>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</si>
  <si>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</si>
  <si>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</si>
  <si>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</si>
  <si>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</si>
  <si>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</si>
  <si>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</si>
  <si>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</si>
  <si>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</si>
  <si>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</si>
  <si>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</si>
  <si>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</si>
  <si>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</si>
  <si>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</si>
  <si>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</si>
  <si>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</si>
  <si>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</si>
  <si>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</si>
  <si>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</si>
  <si>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</si>
  <si>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</si>
  <si>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</si>
  <si>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</si>
  <si>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</si>
  <si>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</si>
  <si>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</si>
  <si>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</si>
  <si>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</si>
  <si>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</si>
  <si>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</si>
  <si>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</si>
  <si>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</si>
  <si>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</si>
  <si>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</si>
  <si>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</si>
  <si>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</si>
  <si>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</si>
  <si>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</si>
  <si>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</si>
  <si>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</si>
  <si>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</si>
  <si>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</si>
  <si>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</si>
  <si>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</si>
  <si>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</si>
  <si>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</si>
  <si>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</si>
  <si>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</si>
  <si>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</si>
  <si>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</si>
  <si>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</si>
  <si>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</si>
  <si>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</si>
  <si>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</si>
  <si>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</si>
  <si>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</si>
  <si>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</si>
  <si>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</si>
  <si>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</si>
  <si>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</si>
  <si>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</si>
  <si>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</si>
  <si>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</si>
  <si>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</si>
  <si>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</si>
  <si>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</si>
  <si>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</si>
  <si>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</si>
  <si>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</si>
  <si>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</si>
  <si>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</si>
  <si>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</si>
  <si>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</si>
  <si>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</si>
  <si>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</si>
  <si>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</si>
  <si>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</si>
  <si>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</si>
  <si>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</si>
  <si>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</si>
  <si>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</si>
  <si>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</si>
  <si>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</si>
  <si>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</si>
  <si>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</si>
  <si>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</si>
  <si>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</si>
  <si>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</si>
  <si>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</si>
  <si>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</si>
  <si>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</si>
  <si>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</si>
  <si>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</si>
  <si>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</si>
  <si>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</si>
  <si>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</si>
  <si>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</si>
  <si>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</si>
  <si>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</si>
  <si>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</si>
  <si>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</si>
  <si>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</si>
  <si>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</si>
  <si>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</si>
  <si>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</si>
  <si>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</si>
  <si>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</si>
  <si>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</si>
  <si>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</si>
  <si>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</si>
  <si>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</si>
  <si>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</si>
  <si>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</si>
  <si>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</si>
  <si>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</si>
  <si>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</si>
  <si>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</si>
  <si>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</si>
  <si>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</si>
  <si>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</si>
  <si>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</si>
  <si>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</si>
  <si>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</si>
  <si>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</si>
  <si>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</si>
  <si>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</si>
  <si>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</si>
  <si>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</si>
  <si>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</si>
  <si>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</si>
  <si>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</si>
  <si>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</si>
  <si>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</si>
  <si>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</si>
  <si>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</si>
  <si>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</si>
  <si>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</si>
  <si>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</si>
  <si>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</si>
  <si>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</si>
  <si>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</si>
  <si>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</si>
  <si>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</si>
  <si>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</si>
  <si>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</si>
  <si>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</si>
  <si>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</si>
  <si>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</si>
  <si>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</si>
  <si>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</si>
  <si>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</si>
  <si>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</si>
  <si>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</si>
  <si>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</si>
  <si>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</si>
  <si>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</si>
  <si>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</si>
  <si>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</si>
  <si>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</si>
  <si>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</si>
  <si>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</si>
  <si>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</si>
  <si>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</si>
  <si>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</si>
  <si>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</si>
  <si>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</si>
  <si>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</si>
  <si>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</si>
  <si>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</si>
  <si>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</si>
  <si>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</si>
  <si>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</si>
  <si>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</si>
  <si>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</si>
  <si>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</si>
  <si>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</si>
  <si>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</si>
  <si>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</si>
  <si>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</si>
  <si>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</si>
  <si>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</si>
  <si>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</si>
  <si>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</si>
  <si>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</si>
  <si>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</si>
  <si>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</si>
  <si>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</si>
  <si>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</si>
  <si>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</si>
  <si>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</si>
  <si>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</si>
  <si>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</si>
  <si>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</si>
  <si>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</si>
  <si>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</si>
  <si>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</si>
  <si>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</si>
  <si>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</si>
  <si>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</si>
  <si>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</si>
  <si>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</si>
  <si>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</si>
  <si>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</si>
  <si>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</si>
  <si>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</si>
  <si>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</si>
  <si>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</si>
  <si>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</si>
  <si>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</si>
  <si>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</si>
  <si>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</si>
  <si>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</si>
  <si>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</si>
  <si>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</si>
  <si>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</si>
  <si>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</si>
  <si>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</si>
  <si>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</si>
  <si>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</si>
  <si>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</si>
  <si>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</si>
  <si>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</si>
  <si>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</si>
  <si>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</si>
  <si>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</si>
  <si>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</si>
  <si>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</si>
  <si>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</si>
  <si>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</si>
  <si>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</si>
  <si>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</si>
  <si>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</si>
  <si>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</si>
  <si>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</si>
  <si>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</si>
  <si>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</si>
  <si>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</si>
  <si>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</si>
  <si>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</si>
  <si>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</si>
  <si>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</si>
  <si>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</si>
  <si>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</si>
  <si>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</si>
  <si>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</si>
  <si>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</si>
  <si>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</si>
  <si>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</si>
  <si>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</si>
  <si>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</si>
  <si>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</si>
  <si>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</si>
  <si>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</si>
  <si>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</si>
  <si>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</si>
  <si>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</si>
  <si>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</si>
  <si>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</si>
  <si>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</si>
  <si>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</si>
  <si>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</si>
  <si>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</si>
  <si>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</si>
  <si>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</si>
  <si>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</si>
  <si>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</si>
  <si>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</si>
  <si>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</si>
  <si>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</si>
  <si>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</si>
  <si>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</si>
  <si>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</si>
  <si>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</si>
  <si>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</si>
  <si>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</si>
  <si>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</si>
  <si>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</si>
  <si>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</si>
  <si>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</si>
  <si>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</si>
  <si>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</si>
  <si>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</si>
  <si>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</si>
  <si>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</si>
  <si>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</si>
  <si>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</si>
  <si>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</si>
  <si>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</si>
  <si>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</si>
  <si>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</si>
  <si>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</si>
  <si>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</si>
  <si>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</si>
  <si>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</si>
  <si>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</si>
  <si>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</si>
  <si>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</si>
  <si>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</si>
  <si>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</si>
  <si>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</si>
  <si>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</si>
  <si>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</si>
  <si>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</si>
  <si>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</si>
  <si>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</si>
  <si>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</si>
  <si>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</si>
  <si>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</si>
  <si>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</si>
  <si>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</si>
  <si>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</si>
  <si>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</si>
  <si>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</si>
  <si>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</si>
  <si>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</si>
  <si>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</si>
  <si>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</si>
  <si>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</si>
  <si>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</si>
  <si>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</si>
  <si>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</si>
  <si>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</si>
  <si>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</si>
  <si>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</si>
  <si>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</si>
  <si>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</si>
  <si>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</si>
  <si>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</si>
  <si>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</si>
  <si>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</si>
  <si>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</si>
  <si>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</si>
  <si>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</si>
  <si>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</si>
  <si>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</si>
  <si>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</si>
  <si>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</si>
  <si>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</si>
  <si>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</si>
  <si>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</si>
  <si>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</si>
  <si>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</si>
  <si>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</si>
  <si>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</si>
  <si>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</si>
  <si>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</si>
  <si>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</si>
  <si>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</si>
  <si>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</si>
  <si>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</si>
  <si>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</si>
  <si>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</si>
  <si>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</si>
  <si>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</si>
  <si>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</si>
  <si>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</si>
  <si>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</si>
  <si>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</si>
  <si>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</si>
  <si>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</si>
  <si>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</si>
  <si>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</si>
  <si>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</si>
  <si>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</si>
  <si>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</si>
  <si>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</si>
  <si>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</si>
  <si>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</si>
  <si>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</si>
  <si>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</si>
  <si>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</si>
  <si>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</si>
  <si>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</si>
  <si>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</si>
  <si>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</si>
  <si>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</si>
  <si>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</si>
  <si>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</si>
  <si>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</si>
  <si>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</si>
  <si>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</si>
  <si>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</si>
  <si>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</si>
  <si>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</si>
  <si>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</si>
  <si>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</si>
  <si>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</si>
  <si>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</si>
  <si>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</si>
  <si>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</si>
  <si>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</si>
  <si>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</si>
  <si>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</si>
  <si>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</si>
  <si>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</si>
  <si>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</si>
  <si>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</si>
  <si>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</si>
  <si>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</si>
  <si>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</si>
  <si>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</si>
  <si>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</si>
  <si>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</si>
  <si>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</si>
  <si>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</si>
  <si>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</si>
  <si>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</si>
  <si>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</si>
  <si>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</si>
  <si>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</si>
  <si>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</si>
  <si>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</si>
  <si>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</si>
  <si>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</si>
  <si>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</si>
  <si>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</si>
  <si>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</si>
  <si>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</si>
  <si>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</si>
  <si>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</si>
  <si>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</si>
  <si>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</si>
  <si>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</si>
  <si>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</si>
  <si>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</si>
  <si>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</si>
  <si>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</si>
  <si>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</si>
  <si>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</si>
  <si>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</si>
  <si>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</si>
  <si>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</si>
  <si>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</si>
  <si>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</si>
  <si>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</si>
  <si>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</si>
  <si>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</si>
  <si>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</si>
  <si>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</si>
  <si>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</si>
  <si>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</si>
  <si>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</si>
  <si>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</si>
  <si>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</si>
  <si>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</si>
  <si>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</si>
  <si>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</si>
  <si>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</si>
  <si>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</si>
  <si>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</si>
  <si>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</si>
  <si>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</si>
  <si>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</si>
  <si>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</si>
  <si>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</si>
  <si>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</si>
  <si>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</si>
  <si>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</si>
  <si>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</si>
  <si>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</si>
  <si>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</si>
  <si>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</si>
  <si>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</si>
  <si>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</si>
  <si>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</si>
  <si>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</si>
  <si>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</si>
  <si>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</si>
  <si>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</si>
  <si>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</si>
  <si>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</si>
  <si>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</si>
  <si>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</si>
  <si>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</si>
  <si>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</si>
  <si>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</si>
  <si>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</si>
  <si>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</si>
  <si>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</si>
  <si>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</si>
  <si>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</si>
  <si>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</si>
  <si>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</si>
  <si>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</si>
  <si>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</si>
  <si>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</si>
  <si>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</si>
  <si>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</si>
  <si>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</si>
  <si>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</si>
  <si>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</si>
  <si>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</si>
  <si>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</si>
  <si>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</si>
  <si>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</si>
  <si>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</si>
  <si>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</si>
  <si>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</si>
  <si>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</si>
  <si>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</si>
  <si>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</si>
  <si>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</si>
  <si>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</si>
  <si>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</si>
  <si>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</si>
  <si>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</si>
  <si>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</si>
  <si>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</si>
  <si>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</si>
  <si>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</si>
  <si>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</si>
  <si>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</si>
  <si>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</si>
  <si>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</si>
  <si>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</si>
  <si>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</si>
  <si>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</si>
  <si>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</si>
  <si>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</si>
  <si>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</si>
  <si>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</si>
  <si>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</si>
  <si>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</si>
  <si>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</si>
  <si>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</si>
  <si>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</si>
  <si>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</si>
  <si>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</si>
  <si>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</si>
  <si>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</si>
  <si>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</si>
  <si>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</si>
  <si>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</si>
  <si>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</si>
  <si>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</si>
  <si>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</si>
  <si>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</si>
  <si>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</si>
  <si>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</si>
  <si>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</si>
  <si>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</si>
  <si>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</si>
  <si>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</si>
  <si>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</si>
  <si>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</si>
  <si>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</si>
  <si>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</si>
  <si>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</si>
  <si>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</si>
  <si>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</si>
  <si>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</si>
  <si>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</si>
  <si>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</si>
  <si>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</si>
  <si>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</si>
  <si>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</si>
  <si>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</si>
  <si>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</si>
  <si>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</si>
  <si>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</si>
  <si>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</si>
  <si>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</si>
  <si>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</si>
  <si>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</si>
  <si>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</si>
  <si>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</si>
  <si>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</si>
  <si>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</si>
  <si>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</si>
  <si>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</si>
  <si>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</si>
  <si>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</si>
  <si>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</si>
  <si>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</si>
  <si>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</si>
  <si>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</si>
  <si>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</si>
  <si>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</si>
  <si>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</si>
  <si>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</si>
  <si>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</si>
  <si>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</si>
  <si>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</si>
  <si>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</si>
  <si>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</si>
  <si>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</si>
  <si>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</si>
  <si>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</si>
  <si>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</si>
  <si>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</si>
  <si>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</si>
  <si>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</si>
  <si>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</si>
  <si>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</si>
  <si>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</si>
  <si>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</si>
  <si>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</si>
  <si>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</si>
  <si>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</si>
  <si>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</si>
  <si>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</si>
  <si>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</si>
  <si>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</si>
  <si>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</si>
  <si>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</si>
  <si>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</si>
  <si>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</si>
  <si>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</si>
  <si>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</si>
  <si>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</si>
  <si>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</si>
  <si>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</si>
  <si>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</si>
  <si>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</si>
  <si>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</si>
  <si>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</si>
  <si>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</si>
  <si>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</si>
  <si>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</si>
  <si>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</si>
  <si>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</si>
  <si>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</si>
  <si>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</si>
  <si>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</si>
  <si>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</si>
  <si>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</si>
  <si>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</si>
  <si>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</si>
  <si>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</si>
  <si>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</si>
  <si>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</si>
  <si>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</si>
  <si>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</si>
  <si>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</si>
  <si>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</si>
  <si>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</si>
  <si>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</si>
  <si>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</si>
  <si>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</si>
  <si>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</si>
  <si>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</si>
  <si>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</si>
  <si>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</si>
  <si>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</si>
  <si>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</si>
  <si>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</si>
  <si>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</si>
  <si>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</si>
  <si>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</si>
  <si>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</si>
  <si>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</si>
  <si>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</si>
  <si>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</si>
  <si>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</si>
  <si>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</si>
  <si>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</si>
  <si>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</si>
  <si>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</si>
  <si>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</si>
  <si>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</si>
  <si>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</si>
  <si>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</si>
  <si>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</si>
  <si>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</si>
  <si>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</si>
  <si>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</si>
  <si>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</si>
  <si>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</si>
  <si>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</si>
  <si>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</si>
  <si>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</si>
  <si>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</si>
  <si>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</si>
  <si>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</si>
  <si>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</si>
  <si>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</si>
  <si>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</si>
  <si>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</si>
  <si>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</si>
  <si>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</si>
  <si>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</si>
  <si>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</si>
  <si>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</si>
  <si>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</si>
  <si>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</si>
  <si>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</si>
  <si>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</si>
  <si>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</si>
  <si>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</si>
  <si>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</si>
  <si>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</si>
  <si>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</si>
  <si>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</si>
  <si>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</si>
  <si>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</si>
  <si>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</si>
  <si>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</si>
  <si>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</si>
  <si>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</si>
  <si>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</si>
  <si>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</si>
  <si>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</si>
  <si>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</si>
  <si>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</si>
  <si>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</si>
  <si>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</si>
  <si>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</si>
  <si>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</si>
  <si>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</si>
  <si>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</si>
  <si>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</si>
  <si>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</si>
  <si>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</si>
  <si>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</si>
  <si>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</si>
  <si>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</si>
  <si>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</si>
  <si>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</si>
  <si>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</si>
  <si>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</si>
  <si>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</si>
  <si>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</si>
  <si>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</si>
  <si>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</si>
  <si>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</si>
  <si>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</si>
  <si>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</si>
  <si>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</si>
  <si>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</si>
  <si>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</si>
  <si>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</si>
  <si>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</si>
  <si>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</si>
  <si>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</si>
  <si>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</si>
  <si>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</si>
  <si>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</si>
  <si>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</si>
  <si>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</si>
  <si>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</si>
  <si>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</si>
  <si>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</si>
  <si>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</si>
  <si>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</si>
  <si>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</si>
  <si>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</si>
  <si>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</si>
  <si>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</si>
  <si>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</si>
  <si>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</si>
  <si>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</si>
  <si>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</si>
  <si>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</si>
  <si>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</si>
  <si>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</si>
  <si>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</si>
  <si>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</si>
  <si>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</si>
  <si>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</si>
  <si>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</si>
  <si>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</si>
  <si>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</si>
  <si>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</si>
  <si>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</si>
  <si>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</si>
  <si>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</si>
  <si>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</si>
  <si>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</si>
  <si>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</si>
  <si>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</si>
  <si>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</si>
  <si>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</si>
  <si>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</si>
  <si>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</si>
  <si>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</si>
  <si>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</si>
  <si>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</si>
  <si>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</si>
  <si>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</si>
  <si>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</si>
  <si>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</si>
  <si>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</si>
  <si>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</si>
  <si>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</si>
  <si>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</si>
  <si>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</si>
  <si>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</si>
  <si>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</si>
  <si>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</si>
  <si>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</si>
  <si>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</si>
  <si>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</si>
  <si>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</si>
  <si>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</si>
  <si>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</si>
  <si>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</si>
  <si>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</si>
  <si>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</si>
  <si>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</si>
  <si>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</si>
  <si>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</si>
  <si>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</si>
  <si>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</si>
  <si>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</si>
  <si>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</si>
  <si>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</si>
  <si>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</si>
  <si>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</si>
  <si>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</si>
  <si>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</si>
  <si>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</si>
  <si>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</si>
  <si>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</si>
  <si>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</si>
  <si>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</si>
  <si>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</si>
  <si>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</si>
  <si>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</si>
  <si>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</si>
  <si>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</si>
  <si>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</si>
  <si>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</si>
  <si>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</si>
  <si>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</si>
  <si>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</si>
  <si>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</si>
  <si>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</si>
  <si>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</si>
  <si>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</si>
  <si>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</si>
  <si>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</si>
  <si>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</si>
  <si>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</si>
  <si>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</si>
  <si>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</si>
  <si>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</si>
  <si>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</si>
  <si>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</si>
  <si>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</si>
  <si>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</si>
  <si>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</si>
  <si>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</si>
  <si>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</si>
  <si>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</si>
  <si>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</si>
  <si>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</si>
  <si>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</si>
  <si>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</si>
  <si>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</si>
  <si>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</si>
  <si>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</si>
  <si>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</si>
  <si>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</si>
  <si>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</si>
  <si>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</si>
  <si>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</si>
  <si>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</si>
  <si>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</si>
  <si>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</si>
  <si>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</si>
  <si>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</si>
  <si>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</si>
  <si>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</si>
  <si>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</si>
  <si>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</si>
  <si>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</si>
  <si>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</si>
  <si>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</si>
  <si>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</si>
  <si>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</si>
  <si>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</si>
  <si>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</si>
  <si>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</si>
  <si>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</si>
  <si>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</si>
  <si>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</si>
  <si>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</si>
  <si>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</si>
  <si>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</si>
  <si>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</si>
  <si>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</si>
  <si>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</si>
  <si>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</si>
  <si>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</si>
  <si>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</si>
  <si>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</si>
  <si>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</si>
  <si>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</si>
  <si>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</si>
  <si>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</si>
  <si>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</si>
  <si>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</si>
  <si>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</si>
  <si>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</si>
  <si>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</si>
  <si>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</si>
  <si>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</si>
  <si>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</si>
  <si>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</si>
  <si>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</si>
  <si>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</si>
  <si>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</si>
  <si>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</si>
  <si>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</si>
  <si>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</si>
  <si>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</si>
  <si>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</si>
  <si>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</si>
  <si>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</si>
  <si>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</si>
  <si>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</si>
  <si>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</si>
  <si>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</si>
  <si>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</si>
  <si>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</si>
  <si>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</si>
  <si>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</si>
  <si>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</si>
  <si>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</si>
  <si>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</si>
  <si>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</si>
  <si>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</si>
  <si>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</si>
  <si>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</si>
  <si>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</si>
  <si>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</si>
  <si>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</si>
  <si>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</si>
  <si>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</si>
  <si>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</si>
  <si>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</si>
  <si>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</si>
  <si>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</si>
  <si>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</si>
  <si>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</si>
  <si>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</si>
  <si>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</si>
  <si>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</si>
  <si>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</si>
  <si>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</si>
  <si>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</si>
  <si>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</si>
  <si>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</si>
  <si>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</si>
  <si>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</si>
  <si>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</si>
  <si>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</si>
  <si>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</si>
  <si>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</si>
  <si>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</si>
  <si>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</si>
  <si>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</si>
  <si>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</si>
  <si>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</si>
  <si>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</si>
  <si>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</si>
  <si>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</si>
  <si>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</si>
  <si>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</si>
  <si>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</si>
  <si>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</si>
  <si>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</si>
  <si>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</si>
  <si>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</si>
  <si>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</si>
  <si>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</si>
  <si>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</si>
  <si>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</si>
  <si>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</si>
  <si>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</si>
  <si>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</si>
  <si>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</si>
  <si>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</si>
  <si>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</si>
  <si>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</si>
  <si>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</si>
  <si>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</si>
  <si>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</si>
  <si>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</si>
  <si>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</si>
  <si>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</si>
  <si>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</si>
  <si>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</si>
  <si>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</si>
  <si>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</si>
  <si>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</si>
  <si>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</si>
  <si>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</si>
  <si>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</si>
  <si>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</si>
  <si>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</si>
  <si>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</si>
  <si>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</si>
  <si>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</si>
  <si>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</si>
  <si>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</si>
  <si>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</si>
  <si>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</si>
  <si>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</si>
  <si>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</si>
  <si>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</si>
  <si>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</si>
  <si>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</si>
  <si>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</si>
  <si>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</si>
  <si>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</si>
  <si>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</si>
  <si>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</si>
  <si>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</si>
  <si>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</si>
  <si>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</si>
  <si>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</si>
  <si>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</si>
  <si>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</si>
  <si>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</si>
  <si>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</si>
  <si>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</si>
  <si>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</si>
  <si>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</si>
  <si>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</si>
  <si>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</si>
  <si>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</si>
  <si>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</si>
  <si>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</si>
  <si>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</si>
  <si>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</si>
  <si>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</si>
  <si>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</si>
  <si>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</si>
  <si>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</si>
  <si>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</si>
  <si>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</si>
  <si>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</si>
  <si>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</si>
  <si>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</si>
  <si>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</si>
  <si>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</si>
  <si>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</si>
  <si>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</si>
  <si>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</si>
  <si>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</si>
  <si>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</si>
  <si>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</si>
  <si>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</si>
  <si>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</si>
  <si>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</si>
  <si>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</si>
  <si>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</si>
  <si>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</si>
  <si>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</si>
  <si>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</si>
  <si>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</si>
  <si>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</si>
  <si>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</si>
  <si>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</si>
  <si>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</si>
  <si>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</si>
  <si>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</si>
  <si>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</si>
  <si>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</si>
  <si>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</si>
  <si>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</si>
  <si>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</si>
  <si>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</si>
  <si>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</si>
  <si>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</si>
  <si>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</si>
  <si>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</si>
  <si>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</si>
  <si>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</si>
  <si>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</si>
  <si>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</si>
  <si>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</si>
  <si>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</si>
  <si>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</si>
  <si>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</si>
  <si>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</si>
  <si>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</si>
  <si>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</si>
  <si>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</si>
  <si>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</si>
  <si>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</si>
  <si>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</si>
  <si>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</si>
  <si>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</si>
  <si>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</si>
  <si>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</si>
  <si>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</si>
  <si>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</si>
  <si>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</si>
  <si>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</si>
  <si>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</si>
  <si>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</si>
  <si>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</si>
  <si>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</si>
  <si>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</si>
  <si>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</si>
  <si>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</si>
  <si>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</si>
  <si>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</si>
  <si>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</si>
  <si>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</si>
  <si>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</si>
  <si>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</si>
  <si>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</si>
  <si>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</si>
  <si>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</si>
  <si>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</si>
  <si>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</si>
  <si>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</si>
  <si>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</si>
  <si>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</si>
  <si>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</si>
  <si>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</si>
  <si>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</si>
  <si>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</si>
  <si>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</si>
  <si>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</si>
  <si>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</si>
  <si>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</si>
  <si>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</si>
  <si>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</si>
  <si>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</si>
  <si>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</si>
  <si>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</si>
  <si>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</si>
  <si>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</si>
  <si>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</si>
  <si>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</si>
  <si>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</si>
  <si>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</si>
  <si>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</si>
  <si>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</si>
  <si>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</si>
  <si>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</si>
  <si>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</si>
  <si>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</si>
  <si>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</si>
  <si>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</si>
  <si>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</si>
  <si>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</si>
  <si>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</si>
  <si>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</si>
  <si>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</si>
  <si>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</si>
  <si>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</si>
  <si>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</si>
  <si>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</si>
  <si>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</si>
  <si>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</si>
  <si>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</si>
  <si>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</si>
  <si>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</si>
  <si>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</si>
  <si>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</si>
  <si>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</si>
  <si>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</si>
  <si>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</si>
  <si>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</si>
  <si>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</si>
  <si>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</si>
  <si>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</si>
  <si>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</si>
  <si>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</si>
  <si>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</si>
  <si>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</si>
  <si>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</si>
  <si>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</si>
  <si>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</si>
  <si>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</si>
  <si>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</si>
  <si>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</si>
  <si>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</si>
  <si>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</si>
  <si>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</si>
  <si>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</si>
  <si>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</si>
  <si>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</si>
  <si>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</si>
  <si>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</si>
  <si>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</si>
  <si>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</si>
  <si>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</si>
  <si>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</si>
  <si>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</si>
  <si>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</si>
  <si>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</si>
  <si>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</si>
  <si>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</si>
  <si>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</si>
  <si>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</si>
  <si>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</si>
  <si>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</si>
  <si>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</si>
  <si>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</si>
  <si>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</si>
  <si>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</si>
  <si>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</si>
  <si>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</si>
  <si>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</si>
  <si>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</si>
  <si>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</si>
  <si>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</si>
  <si>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</si>
  <si>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</si>
  <si>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</si>
  <si>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</si>
  <si>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</si>
  <si>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</si>
  <si>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</si>
  <si>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</si>
  <si>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</si>
  <si>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</si>
  <si>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</si>
  <si>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</si>
  <si>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</si>
  <si>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</si>
  <si>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</si>
  <si>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</si>
  <si>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</si>
  <si>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</si>
  <si>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</si>
  <si>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</si>
  <si>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</si>
  <si>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</si>
  <si>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</si>
  <si>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</si>
  <si>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</si>
  <si>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</si>
  <si>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</si>
  <si>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</si>
  <si>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</si>
  <si>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</si>
  <si>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</si>
  <si>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</si>
  <si>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</si>
  <si>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</si>
  <si>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</si>
  <si>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</si>
  <si>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</si>
  <si>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</si>
  <si>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</si>
  <si>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</si>
  <si>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</si>
  <si>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</si>
  <si>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</si>
  <si>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</si>
  <si>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</si>
  <si>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</si>
  <si>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</si>
  <si>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</si>
  <si>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</si>
  <si>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</si>
  <si>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</si>
  <si>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</si>
  <si>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</si>
  <si>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</si>
  <si>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</si>
  <si>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</si>
  <si>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</si>
  <si>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</si>
  <si>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</si>
  <si>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</si>
  <si>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</si>
  <si>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</si>
  <si>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</si>
  <si>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</si>
  <si>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</si>
  <si>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</si>
  <si>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</si>
  <si>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</si>
  <si>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</si>
  <si>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</si>
  <si>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</si>
  <si>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</si>
  <si>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</si>
  <si>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</si>
  <si>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</si>
  <si>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</si>
  <si>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</si>
  <si>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</si>
  <si>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</si>
  <si>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</si>
  <si>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</si>
  <si>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</si>
  <si>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</si>
  <si>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</si>
  <si>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</si>
  <si>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</si>
  <si>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</si>
  <si>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</si>
  <si>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</si>
  <si>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</si>
  <si>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</si>
  <si>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</si>
  <si>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</si>
  <si>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</si>
  <si>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</si>
  <si>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</si>
  <si>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</si>
  <si>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</si>
  <si>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</si>
  <si>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</si>
  <si>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</si>
  <si>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</si>
  <si>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</si>
  <si>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</si>
  <si>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</si>
  <si>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</si>
  <si>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</si>
  <si>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</si>
  <si>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</si>
  <si>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</si>
  <si>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</si>
  <si>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</si>
  <si>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</si>
  <si>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</si>
  <si>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</si>
  <si>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</si>
  <si>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</si>
  <si>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</si>
  <si>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</si>
  <si>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</si>
  <si>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</si>
  <si>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</si>
  <si>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</si>
  <si>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</si>
  <si>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</si>
  <si>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</si>
  <si>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</si>
  <si>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</si>
  <si>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</si>
  <si>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</si>
  <si>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</si>
  <si>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</si>
  <si>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</si>
  <si>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</si>
  <si>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</si>
  <si>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</si>
  <si>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</si>
  <si>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</si>
  <si>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</si>
  <si>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</si>
  <si>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</si>
  <si>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</si>
  <si>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</si>
  <si>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</si>
  <si>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</si>
  <si>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</si>
  <si>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</si>
  <si>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</si>
  <si>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</si>
  <si>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</si>
  <si>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</si>
  <si>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</si>
  <si>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</si>
  <si>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</si>
  <si>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</si>
  <si>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</si>
  <si>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</si>
  <si>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</si>
  <si>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</si>
  <si>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</si>
  <si>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</si>
  <si>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</si>
  <si>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</si>
  <si>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</si>
  <si>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</si>
  <si>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</si>
  <si>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</si>
  <si>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</si>
  <si>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</si>
  <si>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</si>
  <si>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</si>
  <si>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</si>
  <si>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</si>
  <si>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</si>
  <si>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</si>
  <si>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</si>
  <si>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</si>
  <si>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</si>
  <si>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</si>
  <si>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</si>
  <si>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</si>
  <si>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</si>
  <si>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</si>
  <si>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</si>
  <si>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</si>
  <si>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</si>
  <si>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</si>
  <si>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</si>
  <si>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</si>
  <si>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</si>
  <si>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</si>
  <si>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</si>
  <si>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</si>
  <si>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</si>
  <si>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</si>
  <si>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</si>
  <si>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</si>
  <si>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</si>
  <si>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</si>
  <si>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</si>
  <si>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</si>
  <si>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</si>
  <si>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</si>
  <si>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</si>
  <si>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</si>
  <si>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</si>
  <si>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</si>
  <si>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</si>
  <si>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</si>
  <si>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</si>
  <si>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</si>
  <si>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</si>
  <si>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</si>
  <si>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</si>
  <si>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</si>
  <si>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</si>
  <si>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</si>
  <si>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</si>
  <si>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</si>
  <si>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</si>
  <si>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</si>
  <si>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</si>
  <si>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</si>
  <si>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</si>
  <si>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</si>
  <si>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</si>
  <si>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</si>
  <si>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</si>
  <si>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</si>
  <si>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</si>
  <si>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</si>
  <si>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</si>
  <si>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</si>
  <si>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</si>
  <si>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</si>
  <si>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</si>
  <si>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</si>
  <si>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</si>
  <si>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</si>
  <si>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</si>
  <si>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</si>
  <si>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</si>
  <si>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</si>
  <si>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</si>
  <si>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</si>
  <si>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</si>
  <si>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</si>
  <si>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</si>
  <si>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</si>
  <si>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</si>
  <si>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</si>
  <si>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</si>
  <si>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</si>
  <si>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</si>
  <si>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</si>
  <si>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</si>
  <si>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</si>
  <si>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</si>
  <si>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</si>
  <si>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</si>
  <si>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</si>
  <si>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</si>
  <si>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</si>
  <si>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</si>
  <si>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</si>
  <si>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</si>
  <si>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</si>
  <si>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</si>
  <si>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</si>
  <si>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</si>
  <si>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</si>
  <si>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</si>
  <si>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</si>
  <si>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</si>
  <si>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</si>
  <si>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</si>
  <si>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</si>
  <si>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</si>
  <si>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</si>
  <si>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</si>
  <si>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</si>
  <si>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</si>
  <si>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</si>
  <si>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</si>
  <si>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</si>
  <si>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</si>
  <si>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</si>
  <si>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</si>
  <si>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</si>
  <si>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</si>
  <si>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</si>
  <si>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</si>
  <si>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</si>
  <si>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</si>
  <si>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</si>
  <si>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</si>
  <si>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</si>
  <si>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</si>
  <si>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</si>
  <si>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</si>
  <si>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</si>
  <si>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</si>
  <si>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</si>
  <si>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</si>
  <si>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</si>
  <si>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</si>
  <si>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</si>
  <si>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</si>
  <si>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</si>
  <si>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</si>
  <si>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</si>
  <si>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</si>
  <si>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</si>
  <si>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</si>
  <si>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</si>
  <si>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</si>
  <si>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</si>
  <si>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</si>
  <si>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</si>
  <si>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</si>
  <si>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</si>
  <si>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</si>
  <si>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</si>
  <si>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</si>
  <si>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</si>
  <si>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</si>
  <si>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</si>
  <si>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</si>
  <si>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</si>
  <si>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</si>
  <si>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</si>
  <si>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</si>
  <si>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</si>
  <si>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</si>
  <si>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</si>
  <si>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</si>
  <si>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</si>
  <si>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</si>
  <si>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</si>
  <si>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</si>
  <si>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</si>
  <si>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</si>
  <si>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</si>
  <si>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</si>
  <si>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</si>
  <si>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</si>
  <si>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</si>
  <si>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</si>
  <si>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</si>
  <si>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</si>
  <si>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</si>
  <si>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</si>
  <si>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</si>
  <si>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</si>
  <si>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</si>
  <si>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</si>
  <si>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</si>
  <si>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</si>
  <si>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</si>
  <si>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</si>
  <si>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</si>
  <si>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</si>
  <si>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</si>
  <si>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</si>
  <si>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</si>
  <si>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</si>
  <si>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</si>
  <si>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</si>
  <si>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</si>
  <si>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</si>
  <si>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</si>
  <si>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</si>
  <si>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</si>
  <si>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</si>
  <si>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</si>
  <si>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</si>
  <si>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</si>
  <si>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</si>
  <si>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</si>
  <si>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</si>
  <si>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</si>
  <si>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</si>
  <si>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</si>
  <si>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</si>
  <si>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</si>
  <si>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</si>
  <si>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</si>
  <si>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</si>
  <si>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</si>
  <si>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</si>
  <si>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</si>
  <si>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</si>
  <si>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</si>
  <si>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</si>
  <si>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</si>
  <si>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</si>
  <si>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</si>
  <si>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</si>
  <si>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</si>
  <si>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</si>
  <si>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</si>
  <si>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</si>
  <si>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</si>
  <si>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</si>
  <si>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</si>
  <si>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</si>
  <si>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</si>
  <si>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</si>
  <si>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</si>
  <si>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</si>
  <si>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</si>
  <si>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</si>
  <si>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</si>
  <si>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</si>
  <si>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</si>
  <si>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</si>
  <si>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</si>
  <si>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</si>
  <si>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</si>
  <si>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</si>
  <si>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</si>
  <si>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</si>
  <si>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</si>
  <si>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</si>
  <si>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</si>
  <si>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</si>
  <si>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</si>
  <si>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</si>
  <si>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</si>
  <si>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</si>
  <si>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</si>
  <si>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</si>
  <si>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</si>
  <si>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</si>
  <si>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</si>
  <si>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</si>
  <si>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</si>
  <si>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</si>
  <si>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</si>
  <si>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</si>
  <si>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</si>
  <si>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</si>
  <si>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</si>
  <si>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</si>
  <si>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</si>
  <si>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</si>
  <si>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</si>
  <si>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</si>
  <si>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</si>
  <si>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</si>
  <si>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</si>
  <si>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</si>
  <si>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</si>
  <si>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</si>
  <si>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</si>
  <si>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</si>
  <si>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</si>
  <si>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</si>
  <si>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</si>
  <si>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</si>
  <si>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</si>
  <si>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</si>
  <si>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</si>
  <si>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</si>
  <si>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</si>
  <si>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</si>
  <si>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</si>
  <si>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</si>
  <si>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</si>
  <si>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</si>
  <si>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</si>
  <si>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</si>
  <si>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</si>
  <si>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</si>
  <si>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</si>
  <si>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</si>
  <si>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</si>
  <si>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</si>
  <si>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</si>
  <si>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</si>
  <si>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</si>
  <si>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</si>
  <si>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</si>
  <si>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</si>
  <si>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</si>
  <si>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</si>
  <si>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</si>
  <si>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</si>
  <si>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</si>
  <si>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</si>
  <si>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</si>
  <si>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</si>
  <si>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</si>
  <si>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</si>
  <si>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</si>
  <si>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</si>
  <si>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</si>
  <si>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</si>
  <si>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</si>
  <si>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</si>
  <si>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</si>
  <si>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</si>
  <si>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</si>
  <si>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</si>
  <si>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</si>
  <si>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</si>
  <si>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</si>
  <si>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</si>
  <si>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</si>
  <si>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</si>
  <si>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</si>
  <si>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</si>
  <si>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</si>
  <si>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</si>
  <si>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</si>
  <si>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</si>
  <si>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</si>
  <si>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</si>
  <si>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</si>
  <si>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</si>
  <si>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</si>
  <si>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</si>
  <si>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</si>
  <si>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</si>
  <si>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</si>
  <si>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</si>
  <si>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</si>
  <si>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</si>
  <si>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</si>
  <si>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</si>
  <si>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</si>
  <si>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</si>
  <si>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</si>
  <si>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</si>
  <si>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</si>
  <si>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</si>
  <si>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</si>
  <si>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</si>
  <si>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</si>
  <si>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</si>
  <si>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</si>
  <si>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</si>
  <si>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</si>
  <si>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</si>
  <si>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</si>
  <si>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</si>
  <si>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</si>
  <si>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</si>
  <si>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</si>
  <si>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</si>
  <si>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</si>
  <si>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</si>
  <si>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</si>
  <si>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</si>
  <si>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</si>
  <si>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</si>
  <si>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</si>
  <si>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</si>
  <si>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</si>
  <si>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</si>
  <si>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</si>
  <si>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</si>
  <si>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</si>
  <si>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</si>
  <si>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</si>
  <si>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</si>
  <si>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</si>
  <si>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</si>
  <si>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</si>
  <si>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</si>
  <si>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</si>
  <si>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</si>
  <si>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</si>
  <si>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</si>
  <si>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</si>
  <si>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</si>
  <si>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</si>
  <si>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</si>
  <si>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</si>
  <si>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</si>
  <si>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</si>
  <si>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</si>
  <si>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</si>
  <si>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</si>
  <si>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</si>
  <si>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</si>
  <si>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</si>
  <si>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</si>
  <si>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</si>
  <si>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</si>
  <si>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</si>
  <si>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</si>
  <si>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</si>
  <si>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</si>
  <si>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</si>
  <si>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</si>
  <si>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</si>
  <si>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</si>
  <si>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</si>
  <si>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</si>
  <si>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</si>
  <si>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</si>
  <si>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</si>
  <si>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</si>
  <si>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</si>
  <si>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</si>
  <si>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</si>
  <si>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</si>
  <si>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</si>
  <si>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</si>
  <si>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</si>
  <si>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</si>
  <si>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</si>
  <si>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</si>
  <si>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</si>
  <si>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</si>
  <si>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</si>
  <si>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</si>
  <si>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</si>
  <si>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</si>
  <si>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</si>
  <si>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</si>
  <si>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</si>
  <si>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</si>
  <si>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</si>
  <si>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</si>
  <si>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</si>
  <si>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</si>
  <si>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</si>
  <si>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</si>
  <si>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</si>
  <si>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</si>
  <si>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</si>
  <si>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</si>
  <si>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</si>
  <si>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</si>
  <si>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</si>
  <si>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</si>
  <si>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</si>
  <si>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</si>
  <si>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</si>
  <si>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</si>
  <si>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</si>
  <si>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</si>
  <si>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</si>
  <si>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</si>
  <si>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</si>
  <si>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</si>
  <si>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</si>
  <si>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</si>
  <si>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</si>
  <si>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</si>
  <si>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</si>
  <si>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</si>
  <si>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</si>
  <si>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</si>
  <si>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</si>
  <si>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</si>
  <si>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</si>
  <si>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</si>
  <si>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</si>
  <si>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</si>
  <si>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</si>
  <si>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</si>
  <si>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</si>
  <si>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</si>
  <si>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</si>
  <si>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</si>
  <si>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</si>
  <si>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</si>
  <si>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</si>
  <si>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</si>
  <si>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</si>
  <si>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</si>
  <si>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</si>
  <si>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</si>
  <si>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</si>
  <si>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</si>
  <si>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</si>
  <si>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</si>
  <si>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</si>
  <si>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</si>
  <si>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</si>
  <si>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</si>
  <si>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</si>
  <si>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</si>
  <si>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</si>
  <si>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</si>
  <si>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</si>
  <si>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</si>
  <si>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</si>
  <si>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</si>
  <si>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</si>
  <si>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</si>
  <si>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</si>
  <si>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</si>
  <si>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</si>
  <si>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</si>
  <si>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</si>
  <si>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</si>
  <si>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</si>
  <si>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</si>
  <si>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</si>
  <si>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</si>
  <si>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</si>
  <si>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</si>
  <si>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</si>
  <si>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</si>
  <si>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</si>
  <si>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</si>
  <si>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</si>
  <si>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</si>
  <si>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</si>
  <si>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</si>
  <si>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</si>
  <si>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</si>
  <si>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</si>
  <si>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</si>
  <si>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</si>
  <si>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</si>
  <si>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</si>
  <si>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</si>
  <si>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</si>
  <si>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</si>
  <si>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</si>
  <si>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</si>
  <si>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</si>
  <si>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</si>
  <si>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</si>
  <si>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</si>
  <si>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</si>
  <si>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</si>
  <si>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</si>
  <si>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</si>
  <si>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</si>
  <si>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</si>
  <si>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</si>
  <si>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</si>
  <si>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</si>
  <si>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</si>
  <si>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</si>
  <si>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</si>
  <si>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</si>
  <si>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</si>
  <si>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</si>
  <si>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</si>
  <si>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</si>
  <si>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</si>
  <si>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</si>
  <si>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</si>
  <si>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</si>
  <si>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</si>
  <si>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</si>
  <si>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</si>
  <si>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</si>
  <si>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</si>
  <si>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</si>
  <si>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</si>
  <si>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</si>
  <si>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</si>
  <si>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</si>
  <si>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</si>
  <si>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</si>
  <si>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</si>
  <si>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</si>
  <si>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</si>
  <si>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</si>
  <si>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</si>
  <si>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</si>
  <si>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</si>
  <si>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</si>
  <si>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</si>
  <si>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</si>
  <si>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</si>
  <si>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</si>
  <si>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</si>
  <si>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</si>
  <si>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</si>
  <si>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</si>
  <si>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</si>
  <si>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</si>
  <si>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</si>
  <si>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</si>
  <si>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</si>
  <si>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</si>
  <si>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</si>
  <si>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</si>
  <si>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</si>
  <si>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</si>
  <si>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</si>
  <si>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</si>
  <si>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</si>
  <si>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</si>
  <si>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</si>
  <si>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</si>
  <si>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</si>
  <si>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</si>
  <si>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</si>
  <si>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</si>
  <si>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</si>
  <si>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</si>
  <si>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</si>
  <si>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</si>
  <si>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</si>
  <si>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</si>
  <si>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</si>
  <si>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</si>
  <si>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</si>
  <si>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</si>
  <si>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</si>
  <si>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</si>
  <si>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</si>
  <si>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</si>
  <si>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</si>
  <si>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</si>
  <si>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</si>
  <si>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</si>
  <si>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</si>
  <si>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</si>
  <si>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</si>
  <si>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</si>
  <si>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</si>
  <si>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</si>
  <si>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</si>
  <si>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</si>
  <si>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</si>
  <si>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</si>
  <si>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</si>
  <si>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</si>
  <si>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</si>
  <si>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</si>
  <si>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</si>
  <si>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</si>
  <si>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</si>
  <si>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</si>
  <si>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</si>
  <si>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</si>
  <si>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</si>
  <si>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</si>
  <si>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</si>
  <si>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</si>
  <si>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</si>
  <si>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</si>
  <si>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</si>
  <si>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</si>
  <si>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</si>
  <si>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</si>
  <si>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</si>
  <si>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</si>
  <si>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</si>
  <si>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</si>
  <si>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</si>
  <si>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</si>
  <si>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</si>
  <si>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</si>
  <si>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</si>
  <si>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</si>
  <si>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</si>
  <si>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</si>
  <si>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</si>
  <si>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</si>
  <si>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</si>
  <si>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</si>
  <si>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</si>
  <si>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</si>
  <si>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</si>
  <si>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</si>
  <si>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</si>
  <si>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</si>
  <si>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</si>
  <si>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</si>
  <si>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</si>
  <si>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</si>
  <si>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</si>
  <si>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</si>
  <si>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</si>
  <si>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</si>
  <si>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</si>
  <si>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</si>
  <si>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</si>
  <si>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</si>
  <si>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</si>
  <si>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</si>
  <si>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</si>
  <si>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</si>
  <si>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</si>
  <si>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</si>
  <si>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</si>
  <si>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</si>
  <si>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</si>
  <si>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</si>
  <si>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</si>
  <si>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</si>
  <si>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</si>
  <si>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</si>
  <si>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</si>
  <si>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</si>
  <si>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</si>
  <si>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</si>
  <si>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</si>
  <si>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</si>
  <si>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</si>
  <si>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</si>
  <si>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</si>
  <si>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</si>
  <si>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</si>
  <si>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</si>
  <si>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</si>
  <si>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</si>
  <si>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</si>
  <si>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</si>
  <si>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</si>
  <si>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</si>
  <si>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</si>
  <si>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</si>
  <si>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</si>
  <si>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</si>
  <si>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</si>
  <si>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</si>
  <si>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</si>
  <si>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</si>
  <si>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</si>
  <si>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</si>
  <si>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</si>
  <si>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</si>
  <si>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</si>
  <si>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</si>
  <si>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</si>
  <si>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</si>
  <si>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</si>
  <si>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</si>
  <si>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</si>
  <si>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</si>
  <si>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</si>
  <si>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</si>
  <si>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</si>
  <si>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</si>
  <si>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</si>
  <si>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</si>
  <si>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</si>
  <si>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</si>
  <si>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</si>
  <si>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</si>
  <si>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</si>
  <si>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</si>
  <si>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</si>
  <si>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</si>
  <si>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</si>
  <si>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</si>
  <si>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</si>
  <si>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</si>
  <si>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</si>
  <si>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</si>
  <si>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</si>
  <si>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</si>
  <si>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</si>
  <si>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</si>
  <si>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</si>
  <si>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</si>
  <si>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</si>
  <si>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</si>
  <si>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</si>
  <si>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</si>
  <si>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</si>
  <si>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</si>
  <si>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</si>
  <si>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</si>
  <si>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</si>
  <si>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</si>
  <si>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</si>
  <si>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</si>
  <si>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</si>
  <si>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</si>
  <si>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</si>
  <si>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</si>
  <si>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</si>
  <si>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</si>
  <si>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</si>
  <si>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</si>
  <si>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</si>
  <si>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</si>
  <si>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</si>
  <si>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</si>
  <si>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</si>
  <si>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</si>
  <si>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</si>
  <si>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</si>
  <si>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</si>
  <si>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</si>
  <si>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</si>
  <si>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</si>
  <si>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</si>
  <si>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</si>
  <si>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</si>
  <si>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</si>
  <si>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</si>
  <si>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</si>
  <si>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</si>
  <si>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</si>
  <si>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</si>
  <si>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</si>
  <si>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</si>
  <si>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</si>
  <si>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</si>
  <si>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</si>
  <si>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</si>
  <si>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</si>
  <si>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</si>
  <si>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</si>
  <si>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</si>
  <si>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</si>
  <si>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</si>
  <si>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</si>
  <si>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</si>
  <si>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</si>
  <si>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</si>
  <si>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</si>
  <si>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</si>
  <si>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</si>
  <si>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</si>
  <si>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</si>
  <si>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</si>
  <si>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</si>
  <si>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</si>
  <si>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</si>
  <si>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</si>
  <si>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</si>
  <si>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</si>
  <si>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</si>
  <si>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</si>
  <si>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</si>
  <si>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</si>
  <si>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</si>
  <si>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</si>
  <si>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</si>
  <si>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</si>
  <si>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</si>
  <si>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</si>
  <si>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</si>
  <si>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</si>
  <si>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</si>
  <si>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</si>
  <si>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</si>
  <si>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</si>
  <si>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</si>
  <si>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</si>
  <si>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</si>
  <si>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</si>
  <si>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</si>
  <si>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</si>
  <si>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</si>
  <si>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</si>
  <si>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</si>
  <si>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</si>
  <si>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</si>
  <si>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</si>
  <si>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</si>
  <si>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</si>
  <si>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</si>
  <si>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</si>
  <si>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</si>
  <si>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</si>
  <si>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</si>
  <si>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</si>
  <si>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</si>
  <si>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</si>
  <si>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</si>
  <si>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</si>
  <si>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</si>
  <si>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</si>
  <si>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</si>
  <si>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</si>
  <si>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</si>
  <si>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</si>
  <si>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</si>
  <si>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</si>
  <si>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</si>
  <si>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</si>
  <si>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</si>
  <si>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</si>
  <si>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</si>
  <si>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</si>
  <si>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</si>
  <si>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</si>
  <si>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</si>
  <si>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</si>
  <si>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</si>
  <si>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</si>
  <si>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</si>
  <si>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</si>
  <si>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</si>
  <si>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</si>
  <si>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</si>
  <si>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</si>
  <si>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</si>
  <si>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</si>
  <si>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</si>
  <si>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</si>
  <si>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</si>
  <si>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</si>
  <si>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</si>
  <si>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</si>
  <si>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</si>
  <si>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</si>
  <si>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</si>
  <si>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</si>
  <si>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</si>
  <si>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</si>
  <si>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</si>
  <si>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</si>
  <si>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</si>
  <si>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</si>
  <si>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</si>
  <si>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</si>
  <si>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</si>
  <si>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</si>
  <si>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</si>
  <si>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</si>
  <si>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</si>
  <si>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</si>
  <si>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</si>
  <si>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</si>
  <si>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</si>
  <si>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</si>
  <si>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</si>
  <si>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</si>
  <si>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</si>
  <si>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</si>
  <si>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</si>
  <si>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</si>
  <si>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</si>
  <si>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</si>
  <si>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</si>
  <si>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</si>
  <si>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</si>
  <si>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</si>
  <si>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</si>
  <si>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</si>
  <si>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</si>
  <si>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</si>
  <si>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</si>
  <si>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</si>
  <si>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</si>
  <si>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</si>
  <si>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</si>
  <si>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</si>
  <si>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</si>
  <si>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</si>
  <si>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</si>
  <si>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</si>
  <si>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</si>
  <si>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</si>
  <si>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</si>
  <si>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</si>
  <si>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</si>
  <si>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</si>
  <si>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</si>
  <si>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</si>
  <si>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</si>
  <si>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</si>
  <si>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</si>
  <si>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</si>
  <si>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</si>
  <si>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</si>
  <si>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</si>
  <si>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</si>
  <si>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</si>
  <si>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</si>
  <si>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</si>
  <si>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</si>
  <si>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</si>
  <si>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</si>
  <si>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</si>
  <si>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</si>
  <si>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</si>
  <si>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</si>
  <si>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</si>
  <si>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</si>
  <si>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</si>
  <si>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</si>
  <si>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</si>
  <si>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</si>
  <si>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</si>
  <si>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</si>
  <si>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</si>
  <si>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</si>
  <si>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</si>
  <si>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</si>
  <si>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</si>
  <si>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</si>
  <si>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</si>
  <si>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</si>
  <si>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</si>
  <si>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</si>
  <si>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</si>
  <si>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</si>
  <si>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</si>
  <si>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</si>
  <si>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</si>
  <si>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</si>
  <si>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</si>
  <si>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</si>
  <si>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</si>
  <si>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</si>
  <si>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</si>
  <si>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</si>
  <si>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</si>
  <si>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</si>
  <si>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</si>
  <si>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</si>
  <si>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</si>
  <si>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</si>
  <si>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</si>
  <si>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</si>
  <si>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</si>
  <si>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</si>
  <si>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</si>
  <si>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</si>
  <si>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</si>
  <si>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</si>
  <si>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</si>
  <si>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</si>
  <si>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</si>
  <si>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</si>
  <si>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</si>
  <si>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</si>
  <si>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</si>
  <si>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</si>
  <si>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</si>
  <si>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</si>
  <si>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</si>
  <si>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</si>
  <si>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</si>
  <si>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</si>
  <si>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</si>
  <si>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</si>
  <si>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</si>
  <si>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</si>
  <si>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</si>
  <si>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</si>
  <si>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</si>
  <si>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</si>
  <si>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</si>
  <si>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</si>
  <si>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</si>
  <si>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</si>
  <si>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</si>
  <si>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</si>
  <si>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</si>
  <si>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</si>
  <si>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</si>
  <si>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</si>
  <si>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</si>
  <si>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</si>
  <si>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</si>
  <si>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</si>
  <si>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</si>
  <si>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</si>
  <si>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</si>
  <si>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</si>
  <si>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</si>
  <si>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</si>
  <si>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</si>
  <si>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</si>
  <si>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</si>
  <si>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</si>
  <si>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</si>
  <si>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</si>
  <si>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</si>
  <si>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</si>
  <si>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</si>
  <si>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</si>
  <si>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</si>
  <si>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</si>
  <si>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</si>
  <si>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</si>
  <si>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</si>
  <si>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</si>
  <si>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</si>
  <si>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</si>
  <si>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</si>
  <si>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</si>
  <si>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</si>
  <si>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</si>
  <si>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</si>
  <si>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</si>
  <si>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</si>
  <si>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</si>
  <si>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</si>
  <si>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</si>
  <si>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</si>
  <si>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</si>
  <si>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</si>
  <si>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</si>
  <si>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</si>
  <si>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</si>
  <si>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</si>
  <si>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</si>
  <si>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</si>
  <si>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</si>
  <si>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</si>
  <si>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</si>
  <si>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</si>
  <si>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</si>
  <si>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</si>
  <si>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</si>
  <si>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</si>
  <si>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</si>
  <si>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</si>
  <si>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</si>
  <si>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</si>
  <si>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</si>
  <si>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</si>
  <si>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</si>
  <si>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</si>
  <si>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</si>
  <si>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</si>
  <si>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</si>
  <si>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</si>
  <si>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</si>
  <si>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</si>
  <si>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</si>
  <si>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</si>
  <si>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</si>
  <si>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</si>
  <si>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</si>
  <si>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</si>
  <si>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</si>
  <si>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</si>
  <si>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</si>
  <si>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</si>
  <si>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</si>
  <si>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</si>
  <si>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</si>
  <si>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</si>
  <si>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</si>
  <si>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</si>
  <si>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</si>
  <si>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</si>
  <si>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</si>
  <si>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</si>
  <si>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</si>
  <si>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</si>
  <si>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</si>
  <si>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</si>
  <si>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</si>
  <si>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</si>
  <si>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</si>
  <si>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</si>
  <si>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</si>
  <si>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</si>
  <si>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</si>
  <si>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</si>
  <si>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</si>
  <si>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</si>
  <si>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</si>
  <si>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</si>
  <si>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</si>
  <si>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</si>
  <si>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</si>
  <si>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</si>
  <si>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</si>
  <si>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</si>
  <si>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</si>
  <si>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</si>
  <si>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</si>
  <si>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</si>
  <si>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</si>
  <si>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</si>
  <si>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</si>
  <si>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</si>
  <si>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</si>
  <si>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</si>
  <si>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</si>
  <si>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</si>
  <si>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</si>
  <si>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</si>
  <si>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</si>
  <si>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</si>
  <si>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</si>
  <si>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</si>
  <si>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</si>
  <si>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</si>
  <si>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</si>
  <si>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</si>
  <si>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</si>
  <si>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</si>
  <si>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</si>
  <si>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</si>
  <si>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</si>
  <si>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</si>
  <si>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</si>
  <si>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</si>
  <si>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</si>
  <si>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</si>
  <si>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</si>
  <si>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</si>
  <si>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</si>
  <si>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</si>
  <si>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</si>
  <si>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</si>
  <si>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</si>
  <si>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</si>
  <si>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</si>
  <si>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</si>
  <si>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</si>
  <si>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</si>
  <si>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</si>
  <si>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</si>
  <si>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</si>
  <si>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</si>
  <si>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</si>
  <si>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</si>
  <si>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</si>
  <si>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</si>
  <si>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</si>
  <si>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</si>
  <si>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</si>
  <si>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</si>
  <si>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</si>
  <si>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</si>
  <si>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</si>
  <si>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</si>
  <si>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</si>
  <si>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</si>
  <si>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</si>
  <si>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</si>
  <si>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</si>
  <si>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</si>
  <si>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</si>
  <si>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</si>
  <si>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</si>
  <si>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</si>
  <si>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</si>
  <si>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</si>
  <si>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</si>
  <si>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</si>
  <si>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</si>
  <si>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</si>
  <si>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</si>
  <si>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</si>
  <si>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</si>
  <si>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</si>
  <si>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</si>
  <si>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</si>
  <si>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</si>
  <si>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</si>
  <si>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</si>
  <si>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</si>
  <si>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</si>
  <si>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</si>
  <si>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</si>
  <si>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</si>
  <si>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</si>
  <si>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</si>
  <si>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</si>
  <si>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</si>
  <si>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</si>
  <si>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</si>
  <si>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</si>
  <si>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</si>
  <si>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</si>
  <si>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</si>
  <si>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</si>
  <si>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</si>
  <si>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</si>
  <si>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</si>
  <si>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</si>
  <si>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</si>
  <si>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</si>
  <si>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</si>
  <si>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</si>
  <si>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</si>
  <si>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</si>
  <si>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</si>
  <si>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</si>
  <si>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</si>
  <si>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</si>
  <si>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</si>
  <si>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</si>
  <si>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</si>
  <si>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</si>
  <si>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</si>
  <si>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</si>
  <si>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</si>
  <si>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</si>
  <si>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</si>
  <si>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</si>
  <si>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</si>
  <si>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</si>
  <si>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</si>
  <si>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</si>
  <si>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</si>
  <si>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</si>
  <si>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</si>
  <si>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</si>
  <si>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</si>
  <si>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</si>
  <si>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</si>
  <si>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</si>
  <si>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</si>
  <si>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</si>
  <si>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</si>
  <si>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</si>
  <si>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</si>
  <si>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</si>
  <si>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</si>
  <si>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</si>
  <si>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</si>
  <si>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</si>
  <si>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</si>
  <si>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</si>
  <si>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</si>
  <si>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</si>
  <si>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</si>
  <si>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</si>
  <si>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</si>
  <si>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</si>
  <si>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</si>
  <si>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</si>
  <si>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</si>
  <si>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</si>
  <si>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</si>
  <si>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</si>
  <si>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</si>
  <si>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</si>
  <si>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</si>
  <si>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</si>
  <si>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</si>
  <si>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</si>
  <si>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</si>
  <si>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</si>
  <si>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</si>
  <si>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</si>
  <si>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</si>
  <si>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</si>
  <si>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</si>
  <si>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</si>
  <si>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</si>
  <si>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</si>
  <si>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</si>
  <si>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</si>
  <si>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</si>
  <si>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</si>
  <si>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</si>
  <si>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</si>
  <si>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</si>
  <si>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</si>
  <si>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</si>
  <si>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</si>
  <si>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</si>
  <si>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</si>
  <si>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</si>
  <si>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</si>
  <si>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</si>
  <si>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</si>
  <si>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</si>
  <si>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</si>
  <si>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</si>
  <si>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</si>
  <si>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</si>
  <si>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</si>
  <si>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</si>
  <si>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</si>
  <si>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</si>
  <si>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</si>
  <si>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</si>
  <si>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</si>
  <si>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</si>
  <si>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</si>
  <si>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</si>
  <si>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</si>
  <si>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</si>
  <si>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</si>
  <si>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</si>
  <si>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</si>
  <si>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</si>
  <si>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</si>
  <si>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</si>
  <si>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</si>
  <si>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</si>
  <si>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</si>
  <si>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</si>
  <si>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</si>
  <si>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</si>
  <si>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</si>
  <si>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</si>
  <si>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</si>
  <si>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</si>
  <si>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</si>
  <si>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</si>
  <si>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</si>
  <si>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</si>
  <si>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</si>
  <si>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</si>
  <si>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</si>
  <si>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</si>
  <si>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</si>
  <si>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</si>
  <si>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</si>
  <si>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</si>
  <si>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</si>
  <si>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</si>
  <si>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</si>
  <si>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</si>
  <si>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</si>
  <si>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</si>
  <si>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</si>
  <si>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</si>
  <si>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</si>
  <si>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</si>
  <si>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</si>
  <si>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</si>
  <si>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</si>
  <si>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</si>
  <si>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</si>
  <si>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</si>
  <si>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</si>
  <si>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</si>
  <si>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</si>
  <si>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</si>
  <si>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</si>
  <si>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</si>
  <si>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</si>
  <si>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</si>
  <si>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</si>
  <si>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</si>
  <si>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</si>
  <si>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</si>
  <si>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</si>
  <si>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</si>
  <si>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</si>
  <si>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</si>
  <si>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</si>
  <si>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</si>
  <si>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</si>
  <si>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</si>
  <si>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</si>
  <si>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</si>
  <si>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</si>
  <si>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</si>
  <si>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</si>
  <si>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</si>
  <si>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</si>
  <si>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</si>
  <si>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</si>
  <si>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</si>
  <si>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</si>
  <si>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</si>
  <si>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</si>
  <si>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</si>
  <si>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</si>
  <si>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</si>
  <si>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</si>
  <si>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</si>
  <si>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</si>
  <si>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</si>
  <si>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</si>
  <si>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</si>
  <si>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</si>
  <si>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</si>
  <si>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</si>
  <si>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</si>
  <si>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</si>
  <si>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</si>
  <si>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</si>
  <si>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</si>
  <si>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</si>
  <si>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</si>
  <si>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</si>
  <si>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</si>
  <si>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</si>
  <si>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</si>
  <si>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</si>
  <si>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</si>
  <si>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</si>
  <si>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</si>
  <si>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</si>
  <si>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</si>
  <si>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</si>
  <si>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</si>
  <si>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</si>
  <si>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</si>
  <si>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</si>
  <si>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</si>
  <si>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</si>
  <si>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</si>
  <si>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</si>
  <si>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</si>
  <si>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</si>
  <si>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</si>
  <si>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</si>
  <si>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</si>
  <si>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</si>
  <si>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</si>
  <si>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</si>
  <si>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</si>
  <si>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</si>
  <si>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</si>
  <si>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</si>
  <si>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</si>
  <si>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</si>
  <si>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</si>
  <si>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</si>
  <si>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</si>
  <si>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</si>
  <si>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</si>
  <si>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</si>
  <si>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</si>
  <si>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</si>
  <si>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</si>
  <si>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</si>
  <si>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</si>
  <si>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</si>
  <si>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</si>
  <si>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</si>
  <si>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</si>
  <si>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</si>
  <si>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</si>
  <si>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</si>
  <si>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</si>
  <si>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</si>
  <si>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</si>
  <si>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</si>
  <si>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</si>
  <si>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</si>
  <si>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</si>
  <si>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</si>
  <si>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</si>
  <si>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</si>
  <si>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</si>
  <si>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</si>
  <si>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</si>
  <si>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</si>
  <si>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</si>
  <si>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</si>
  <si>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</si>
  <si>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</si>
  <si>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</si>
  <si>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</si>
  <si>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</si>
  <si>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</si>
  <si>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</si>
  <si>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</si>
  <si>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</si>
  <si>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</si>
  <si>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</si>
  <si>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</si>
  <si>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</si>
  <si>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</si>
  <si>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</si>
  <si>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</si>
  <si>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</si>
  <si>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</si>
  <si>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</si>
  <si>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</si>
  <si>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</si>
  <si>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</si>
  <si>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</si>
  <si>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</si>
  <si>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</si>
  <si>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</si>
  <si>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</si>
  <si>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</si>
  <si>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</si>
  <si>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</si>
  <si>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</si>
  <si>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</si>
  <si>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</si>
  <si>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</si>
  <si>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</si>
  <si>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</si>
  <si>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</si>
  <si>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</si>
  <si>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</si>
  <si>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</si>
  <si>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</si>
  <si>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</si>
  <si>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</si>
  <si>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</si>
  <si>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</si>
  <si>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</si>
  <si>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</si>
  <si>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</si>
  <si>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</si>
  <si>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</si>
  <si>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</si>
  <si>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</si>
  <si>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</si>
  <si>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</si>
  <si>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</si>
  <si>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</si>
  <si>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</si>
  <si>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</si>
  <si>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</si>
  <si>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</si>
  <si>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</si>
  <si>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</si>
  <si>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</si>
  <si>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</si>
  <si>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</si>
  <si>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</si>
  <si>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</si>
  <si>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</si>
  <si>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</si>
  <si>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</si>
  <si>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</si>
  <si>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</si>
  <si>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</si>
  <si>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</si>
  <si>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</si>
  <si>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</si>
  <si>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</si>
  <si>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</si>
  <si>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</si>
  <si>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</si>
  <si>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</si>
  <si>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</si>
  <si>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</si>
  <si>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</si>
  <si>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</si>
  <si>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</si>
  <si>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</si>
  <si>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</si>
  <si>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</si>
  <si>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</si>
  <si>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</si>
  <si>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</si>
  <si>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</si>
  <si>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</si>
  <si>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</si>
  <si>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</si>
  <si>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</si>
  <si>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</si>
  <si>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</si>
  <si>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</si>
  <si>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</si>
  <si>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</si>
  <si>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</si>
  <si>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</si>
  <si>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</si>
  <si>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</si>
  <si>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</si>
  <si>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</si>
  <si>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</si>
  <si>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</si>
  <si>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</si>
  <si>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</si>
  <si>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</si>
  <si>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</si>
  <si>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</si>
  <si>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</si>
  <si>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</si>
  <si>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</si>
  <si>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</si>
  <si>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</si>
  <si>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</si>
  <si>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</si>
  <si>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</si>
  <si>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</si>
  <si>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</si>
  <si>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</si>
  <si>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</si>
  <si>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</si>
  <si>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</si>
  <si>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</si>
  <si>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</si>
  <si>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</si>
  <si>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</si>
  <si>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</si>
  <si>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</si>
  <si>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</si>
  <si>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</si>
  <si>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</si>
  <si>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</si>
  <si>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</si>
  <si>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</si>
  <si>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</si>
  <si>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</si>
  <si>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</si>
  <si>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</si>
  <si>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</si>
  <si>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</si>
  <si>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</si>
  <si>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</si>
  <si>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</si>
  <si>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</si>
  <si>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</si>
  <si>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</si>
  <si>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</si>
  <si>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</si>
  <si>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</si>
  <si>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</si>
  <si>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</si>
  <si>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</si>
  <si>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</si>
  <si>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</si>
  <si>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</si>
  <si>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</si>
  <si>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</si>
  <si>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</si>
  <si>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</si>
  <si>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</si>
  <si>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</si>
  <si>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</si>
  <si>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</si>
  <si>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</si>
  <si>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</si>
  <si>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</si>
  <si>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</si>
  <si>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</si>
  <si>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</si>
  <si>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</si>
  <si>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</si>
  <si>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</si>
  <si>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</si>
  <si>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</si>
  <si>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</si>
  <si>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</si>
  <si>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</si>
  <si>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</si>
  <si>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</si>
  <si>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</si>
  <si>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</si>
  <si>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</si>
  <si>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</si>
  <si>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</si>
  <si>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</si>
  <si>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</si>
  <si>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</si>
  <si>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</si>
  <si>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</si>
  <si>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</si>
  <si>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</si>
  <si>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</si>
  <si>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</si>
  <si>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</si>
  <si>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</si>
  <si>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</si>
  <si>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</si>
  <si>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</si>
  <si>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</si>
  <si>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</si>
  <si>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</si>
  <si>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</si>
  <si>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</si>
  <si>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</si>
  <si>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</si>
  <si>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</si>
  <si>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</si>
  <si>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</si>
  <si>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</si>
  <si>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</si>
  <si>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</si>
  <si>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</si>
  <si>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</si>
  <si>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</si>
  <si>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</si>
  <si>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</si>
  <si>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</si>
  <si>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</si>
  <si>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</si>
  <si>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</si>
  <si>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</si>
  <si>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</si>
  <si>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</si>
  <si>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</si>
  <si>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</si>
  <si>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</si>
  <si>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</si>
  <si>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</si>
  <si>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</si>
  <si>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</si>
  <si>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</si>
  <si>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</si>
  <si>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</si>
  <si>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</si>
  <si>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</si>
  <si>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</si>
  <si>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</si>
  <si>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</si>
  <si>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</si>
  <si>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</si>
  <si>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</si>
  <si>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</si>
  <si>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</si>
  <si>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</si>
  <si>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</si>
  <si>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</si>
  <si>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</si>
  <si>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</si>
  <si>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</si>
  <si>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</si>
  <si>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</si>
  <si>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</si>
  <si>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</si>
  <si>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</si>
  <si>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</si>
  <si>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</si>
  <si>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</si>
  <si>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</si>
  <si>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</si>
  <si>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</si>
  <si>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</si>
  <si>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</si>
  <si>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</si>
  <si>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</si>
  <si>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</si>
  <si>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</si>
  <si>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</si>
  <si>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</si>
  <si>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</si>
  <si>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</si>
  <si>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</si>
  <si>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</si>
  <si>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</si>
  <si>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</si>
  <si>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</si>
  <si>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</si>
  <si>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</si>
  <si>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</si>
  <si>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</si>
  <si>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</si>
  <si>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</si>
  <si>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</si>
  <si>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</si>
  <si>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</si>
  <si>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</si>
  <si>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</si>
  <si>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</si>
  <si>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</si>
  <si>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</si>
  <si>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</si>
  <si>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</si>
  <si>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</si>
  <si>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</si>
  <si>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</si>
  <si>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</si>
  <si>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</si>
  <si>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</si>
  <si>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</si>
  <si>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</si>
  <si>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</si>
  <si>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</si>
  <si>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</si>
  <si>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</si>
  <si>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</si>
  <si>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</si>
  <si>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</si>
  <si>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</si>
  <si>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</si>
  <si>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</si>
  <si>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</si>
  <si>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</si>
  <si>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</si>
  <si>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</si>
  <si>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</si>
  <si>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</si>
  <si>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</si>
  <si>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</si>
  <si>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</si>
  <si>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</si>
  <si>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</si>
  <si>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</si>
  <si>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</si>
  <si>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</si>
  <si>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</si>
  <si>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</si>
  <si>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</si>
  <si>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</si>
  <si>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</si>
  <si>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</si>
  <si>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</si>
  <si>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</si>
  <si>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</si>
  <si>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</si>
  <si>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</si>
  <si>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</si>
  <si>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</si>
  <si>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</si>
  <si>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</si>
  <si>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</si>
  <si>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</si>
  <si>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</si>
  <si>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</si>
  <si>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</si>
  <si>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</si>
  <si>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</si>
  <si>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</si>
  <si>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</si>
  <si>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</si>
  <si>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</si>
  <si>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</si>
  <si>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</si>
  <si>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</si>
  <si>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</si>
  <si>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</si>
  <si>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</si>
  <si>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</si>
  <si>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</si>
  <si>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</si>
  <si>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</si>
  <si>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</si>
  <si>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</si>
  <si>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</si>
  <si>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</si>
  <si>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</si>
  <si>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</si>
  <si>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</si>
  <si>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</si>
  <si>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</si>
  <si>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</si>
  <si>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</si>
  <si>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</si>
  <si>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</si>
  <si>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</si>
  <si>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</si>
  <si>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</si>
  <si>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</si>
  <si>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</si>
  <si>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</si>
  <si>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</si>
  <si>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</si>
  <si>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</si>
  <si>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</si>
  <si>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</si>
  <si>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</si>
  <si>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</si>
  <si>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</si>
  <si>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</si>
  <si>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</si>
  <si>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</si>
  <si>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</si>
  <si>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</si>
  <si>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</si>
  <si>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</si>
  <si>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</si>
  <si>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</si>
  <si>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</si>
  <si>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</si>
  <si>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</si>
  <si>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</si>
  <si>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</si>
  <si>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</si>
  <si>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</si>
  <si>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</si>
  <si>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</si>
  <si>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</si>
  <si>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</si>
  <si>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</si>
  <si>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</si>
  <si>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</si>
  <si>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</si>
  <si>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</si>
  <si>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</si>
  <si>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</si>
  <si>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</si>
  <si>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</si>
  <si>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</si>
  <si>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</si>
  <si>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</si>
  <si>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</si>
  <si>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</si>
  <si>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</si>
  <si>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</si>
  <si>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</si>
  <si>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</si>
  <si>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</si>
  <si>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</si>
  <si>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</si>
  <si>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</si>
  <si>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</si>
  <si>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</si>
  <si>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</si>
  <si>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</si>
  <si>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</si>
  <si>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</si>
  <si>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</si>
  <si>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</si>
  <si>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</si>
  <si>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</si>
  <si>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</si>
  <si>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</si>
  <si>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</si>
  <si>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</si>
  <si>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</si>
  <si>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</si>
  <si>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</si>
  <si>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</si>
  <si>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</si>
  <si>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</si>
  <si>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</si>
  <si>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</si>
  <si>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</si>
  <si>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</si>
  <si>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</si>
  <si>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</si>
  <si>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</si>
  <si>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</si>
  <si>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</si>
  <si>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</si>
  <si>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</si>
  <si>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</si>
  <si>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</si>
  <si>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</si>
  <si>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</si>
  <si>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</si>
  <si>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</si>
  <si>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</si>
  <si>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</si>
  <si>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</si>
  <si>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</si>
  <si>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</si>
  <si>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</si>
  <si>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</si>
  <si>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</si>
  <si>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</si>
  <si>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</si>
  <si>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</si>
  <si>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</si>
  <si>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</si>
  <si>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</si>
  <si>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</si>
  <si>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</si>
  <si>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</si>
  <si>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</si>
  <si>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</si>
  <si>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</si>
  <si>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</si>
  <si>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</si>
  <si>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</si>
  <si>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</si>
  <si>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</si>
  <si>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</si>
  <si>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</si>
  <si>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</si>
  <si>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</si>
  <si>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</si>
  <si>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</si>
  <si>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</si>
  <si>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</si>
  <si>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</si>
  <si>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</si>
  <si>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</si>
  <si>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</si>
  <si>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</si>
  <si>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</si>
  <si>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</si>
  <si>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</si>
  <si>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</si>
  <si>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</si>
  <si>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</si>
  <si>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</si>
  <si>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</si>
  <si>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</si>
  <si>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</si>
  <si>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</si>
  <si>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</si>
  <si>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</si>
  <si>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</si>
  <si>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</si>
  <si>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</si>
  <si>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</si>
  <si>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</si>
  <si>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</si>
  <si>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</si>
  <si>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</si>
  <si>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</si>
  <si>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</si>
  <si>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</si>
  <si>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</si>
  <si>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</si>
  <si>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</si>
  <si>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</si>
  <si>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</si>
  <si>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</si>
  <si>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</si>
  <si>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</si>
  <si>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</si>
  <si>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</si>
  <si>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</si>
  <si>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</si>
  <si>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</si>
  <si>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</si>
  <si>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</si>
  <si>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</si>
  <si>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</si>
  <si>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</si>
  <si>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</si>
  <si>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</si>
  <si>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</si>
  <si>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</si>
  <si>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</si>
  <si>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</si>
  <si>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</si>
  <si>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</si>
  <si>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</si>
  <si>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</si>
  <si>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</si>
  <si>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</si>
  <si>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</si>
  <si>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</si>
  <si>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</si>
  <si>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</si>
  <si>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</si>
  <si>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</si>
  <si>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</si>
  <si>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</si>
  <si>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</si>
  <si>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</si>
  <si>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</si>
  <si>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</si>
  <si>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</si>
  <si>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</si>
  <si>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</si>
  <si>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</si>
  <si>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</si>
  <si>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</si>
  <si>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</si>
  <si>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</si>
  <si>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</si>
  <si>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</si>
  <si>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</si>
  <si>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</si>
  <si>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</si>
  <si>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</si>
  <si>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</si>
  <si>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</si>
  <si>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</si>
  <si>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</si>
  <si>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</si>
  <si>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</si>
  <si>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</si>
  <si>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</si>
  <si>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</si>
  <si>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</si>
  <si>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</si>
  <si>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</si>
  <si>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</si>
  <si>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</si>
  <si>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</si>
  <si>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</si>
  <si>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</si>
  <si>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</si>
  <si>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</si>
  <si>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</si>
  <si>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</si>
  <si>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</si>
  <si>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</si>
  <si>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</si>
  <si>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</si>
  <si>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</si>
  <si>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</si>
  <si>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</si>
  <si>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</si>
  <si>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</si>
  <si>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</si>
  <si>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</si>
  <si>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</si>
  <si>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</si>
  <si>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</si>
  <si>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</si>
  <si>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</si>
  <si>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</si>
  <si>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</si>
  <si>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</si>
  <si>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</si>
  <si>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</si>
  <si>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</si>
  <si>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</si>
  <si>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</si>
  <si>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</si>
  <si>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</si>
  <si>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</si>
  <si>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</si>
  <si>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</si>
  <si>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</si>
  <si>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</si>
  <si>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</si>
  <si>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</si>
  <si>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</si>
  <si>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</si>
  <si>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</si>
  <si>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</si>
  <si>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</si>
  <si>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</si>
  <si>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</si>
  <si>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</si>
  <si>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</si>
  <si>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</si>
  <si>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</si>
  <si>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</si>
  <si>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</si>
  <si>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</si>
  <si>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</si>
  <si>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</si>
  <si>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</si>
  <si>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</si>
  <si>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</si>
  <si>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</si>
  <si>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</si>
  <si>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</si>
  <si>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</si>
  <si>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</si>
  <si>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</si>
  <si>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</si>
  <si>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</si>
  <si>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</si>
  <si>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</si>
  <si>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</si>
  <si>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6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</si>
  <si>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</si>
  <si>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6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</si>
  <si>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</si>
  <si>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</si>
  <si>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</si>
  <si>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</si>
  <si>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6" type="noConversion"/>
  </si>
  <si>
    <t>Longitude:</t>
    <phoneticPr fontId="6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</si>
  <si>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</si>
  <si>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</si>
  <si>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</si>
  <si>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</si>
  <si>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</si>
  <si>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</si>
  <si>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</si>
  <si>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6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</si>
  <si>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</si>
  <si>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</si>
  <si>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</si>
  <si>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</si>
  <si>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</si>
  <si>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6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</si>
  <si>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</si>
  <si>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</si>
  <si>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</si>
  <si>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</si>
  <si>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</si>
  <si>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</si>
  <si>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</si>
  <si>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</si>
  <si>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</si>
  <si>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</si>
  <si>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</si>
  <si>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</si>
  <si>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</si>
  <si>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</si>
  <si>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</si>
  <si>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</si>
  <si>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</si>
  <si>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</si>
  <si>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</si>
  <si>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</si>
  <si>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</si>
  <si>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MRPR Pr blf 2</t>
  </si>
  <si>
    <t>Exotic Lonicera sp.</t>
  </si>
  <si>
    <t>Ribes sp.</t>
  </si>
  <si>
    <t>D2-3r, D1, C1-2b</t>
  </si>
  <si>
    <t>H1-3b</t>
  </si>
  <si>
    <t>Antennaria sp.</t>
  </si>
  <si>
    <t>Unknown aster</t>
  </si>
  <si>
    <t>Scutellaria parvula c - value</t>
  </si>
  <si>
    <t>Carex cf. Carex blanda</t>
  </si>
  <si>
    <t>Muhlenbergia sp.</t>
  </si>
  <si>
    <t>Carex sp.</t>
  </si>
  <si>
    <t>Dicanthelium sp.</t>
  </si>
  <si>
    <t>Cf. Triticum aestivum</t>
  </si>
  <si>
    <t>native</t>
  </si>
  <si>
    <t>Introdcued</t>
  </si>
  <si>
    <t>MRPRPB22021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</si>
</sst>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19" applyNumberFormat="0" applyAlignment="0" applyProtection="0"/>
    <xf numFmtId="0" fontId="22" fillId="6" borderId="20" applyNumberFormat="0" applyAlignment="0" applyProtection="0"/>
    <xf numFmtId="0" fontId="23" fillId="6" borderId="19" applyNumberFormat="0" applyAlignment="0" applyProtection="0"/>
    <xf numFmtId="0" fontId="24" fillId="0" borderId="21" applyNumberFormat="0" applyFill="0" applyAlignment="0" applyProtection="0"/>
    <xf numFmtId="0" fontId="25" fillId="7" borderId="22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4" applyNumberFormat="0" applyFill="0" applyAlignment="0" applyProtection="0"/>
    <xf numFmtId="0" fontId="2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9" fillId="32" borderId="0" applyNumberFormat="0" applyBorder="0" applyAlignment="0" applyProtection="0"/>
    <xf numFmtId="0" fontId="31" fillId="0" borderId="0"/>
    <xf numFmtId="0" fontId="9" fillId="0" borderId="0"/>
    <xf numFmtId="0" fontId="3" fillId="0" borderId="0"/>
    <xf numFmtId="0" fontId="3" fillId="8" borderId="23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6" fillId="0" borderId="0"/>
    <xf numFmtId="0" fontId="2" fillId="0" borderId="0"/>
    <xf numFmtId="0" fontId="2" fillId="8" borderId="23" applyNumberFormat="0" applyFont="0" applyAlignment="0" applyProtection="0"/>
    <xf numFmtId="0" fontId="9" fillId="0" borderId="0"/>
  </cellStyleXfs>
  <cellXfs count="144">
    <xf numFmtId="0" fontId="0" fillId="0" borderId="0" xfId="0"/>
    <xf numFmtId="0" fontId="4" fillId="0" borderId="0" xfId="0" applyFont="1"/>
    <xf numFmtId="0" fontId="7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5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9" fillId="0" borderId="0" xfId="0" applyFont="1"/>
    <xf numFmtId="0" fontId="9" fillId="0" borderId="0" xfId="1"/>
    <xf numFmtId="0" fontId="8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0" xfId="0" applyFont="1" applyFill="1" applyBorder="1" applyAlignment="1">
      <alignment horizontal="center"/>
    </xf>
    <xf numFmtId="14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vertical="center"/>
    </xf>
    <xf numFmtId="0" fontId="9" fillId="0" borderId="0" xfId="0" applyFont="1" applyAlignment="1"/>
    <xf numFmtId="0" fontId="0" fillId="0" borderId="0" xfId="0" applyBorder="1"/>
    <xf numFmtId="0" fontId="4" fillId="0" borderId="15" xfId="0" applyFont="1" applyBorder="1"/>
    <xf numFmtId="0" fontId="0" fillId="0" borderId="0" xfId="0"/>
    <xf numFmtId="0" fontId="0" fillId="0" borderId="0" xfId="0"/>
    <xf numFmtId="0" fontId="30" fillId="0" borderId="25" xfId="0" applyFont="1" applyBorder="1"/>
    <xf numFmtId="0" fontId="30" fillId="0" borderId="25" xfId="0" applyFont="1" applyFill="1" applyBorder="1"/>
    <xf numFmtId="0" fontId="30" fillId="0" borderId="25" xfId="0" applyNumberFormat="1" applyFont="1" applyBorder="1"/>
    <xf numFmtId="0" fontId="31" fillId="0" borderId="0" xfId="0" applyFont="1" applyFill="1"/>
    <xf numFmtId="0" fontId="0" fillId="0" borderId="0" xfId="0" quotePrefix="1" applyNumberFormat="1"/>
    <xf numFmtId="0" fontId="31" fillId="0" borderId="0" xfId="0" quotePrefix="1" applyNumberFormat="1" applyFont="1"/>
    <xf numFmtId="0" fontId="0" fillId="0" borderId="0" xfId="0" applyNumberFormat="1"/>
    <xf numFmtId="0" fontId="31" fillId="0" borderId="0" xfId="0" applyFont="1"/>
    <xf numFmtId="0" fontId="31" fillId="0" borderId="0" xfId="0" quotePrefix="1" applyNumberFormat="1" applyFont="1" applyFill="1"/>
    <xf numFmtId="0" fontId="32" fillId="0" borderId="0" xfId="0" applyFont="1"/>
    <xf numFmtId="0" fontId="4" fillId="0" borderId="15" xfId="1" applyFont="1" applyFill="1" applyBorder="1"/>
    <xf numFmtId="0" fontId="9" fillId="0" borderId="0" xfId="0" applyFont="1" applyAlignment="1">
      <alignment vertical="center"/>
    </xf>
    <xf numFmtId="0" fontId="0" fillId="0" borderId="15" xfId="0" applyBorder="1"/>
    <xf numFmtId="0" fontId="9" fillId="0" borderId="0" xfId="1"/>
    <xf numFmtId="0" fontId="9" fillId="0" borderId="0" xfId="1" applyFont="1"/>
    <xf numFmtId="0" fontId="4" fillId="0" borderId="0" xfId="1" applyFont="1"/>
    <xf numFmtId="0" fontId="4" fillId="0" borderId="15" xfId="1" applyFont="1" applyBorder="1"/>
    <xf numFmtId="0" fontId="9" fillId="0" borderId="0" xfId="1" applyBorder="1"/>
    <xf numFmtId="0" fontId="4" fillId="0" borderId="0" xfId="1" applyFont="1" applyFill="1"/>
    <xf numFmtId="0" fontId="34" fillId="0" borderId="26" xfId="0" applyFont="1" applyBorder="1"/>
    <xf numFmtId="0" fontId="34" fillId="0" borderId="25" xfId="0" applyFont="1" applyBorder="1"/>
    <xf numFmtId="0" fontId="34" fillId="0" borderId="27" xfId="0" applyFont="1" applyBorder="1"/>
    <xf numFmtId="0" fontId="33" fillId="0" borderId="28" xfId="0" applyFont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1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2" fillId="0" borderId="0" xfId="46"/>
    <xf numFmtId="0" fontId="31" fillId="0" borderId="0" xfId="59" applyFont="1" applyFill="1"/>
    <xf numFmtId="0" fontId="9" fillId="0" borderId="15" xfId="0" applyFont="1" applyBorder="1" applyAlignment="1">
      <alignment vertical="center"/>
    </xf>
    <xf numFmtId="0" fontId="9" fillId="0" borderId="30" xfId="1" applyBorder="1"/>
    <xf numFmtId="0" fontId="9" fillId="0" borderId="15" xfId="1" applyFont="1" applyBorder="1"/>
    <xf numFmtId="0" fontId="9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10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9" fillId="0" borderId="0" xfId="0" applyFont="1"/>
    <xf numFmtId="14" fontId="9" fillId="0" borderId="0" xfId="1" applyNumberFormat="1" applyFont="1"/>
    <xf numFmtId="0" fontId="4" fillId="0" borderId="0" xfId="1" applyFont="1" applyBorder="1"/>
    <xf numFmtId="0" fontId="9" fillId="0" borderId="0" xfId="1" applyBorder="1"/>
    <xf numFmtId="0" fontId="4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9" fillId="0" borderId="0" xfId="0" applyFont="1"/>
    <xf numFmtId="0" fontId="4" fillId="0" borderId="0" xfId="1" applyFont="1" applyFill="1"/>
    <xf numFmtId="0" fontId="0" fillId="0" borderId="0" xfId="0"/>
    <xf numFmtId="0" fontId="4" fillId="0" borderId="0" xfId="1" applyFont="1"/>
    <xf numFmtId="0" fontId="0" fillId="0" borderId="0" xfId="0"/>
    <xf numFmtId="0" fontId="4" fillId="0" borderId="0" xfId="1" applyFont="1"/>
    <xf numFmtId="0" fontId="9" fillId="0" borderId="0" xfId="1" applyFont="1" applyFill="1"/>
    <xf numFmtId="0" fontId="4" fillId="34" borderId="0" xfId="1" applyFont="1" applyFill="1" applyBorder="1"/>
    <xf numFmtId="0" fontId="9" fillId="35" borderId="0" xfId="1" applyFill="1" applyBorder="1"/>
    <xf numFmtId="0" fontId="9" fillId="35" borderId="0" xfId="0" applyFont="1" applyFill="1"/>
    <xf numFmtId="0" fontId="9" fillId="35" borderId="15" xfId="0" applyFont="1" applyFill="1" applyBorder="1"/>
    <xf numFmtId="0" fontId="0" fillId="0" borderId="0" xfId="0"/>
    <xf numFmtId="2" fontId="9" fillId="0" borderId="26" xfId="0" applyNumberFormat="1" applyFont="1" applyBorder="1"/>
    <xf numFmtId="2" fontId="9" fillId="0" borderId="32" xfId="0" applyNumberFormat="1" applyFont="1" applyBorder="1" applyAlignment="1">
      <alignment horizontal="center"/>
    </xf>
    <xf numFmtId="2" fontId="9" fillId="0" borderId="25" xfId="0" applyNumberFormat="1" applyFont="1" applyBorder="1"/>
    <xf numFmtId="2" fontId="9" fillId="0" borderId="27" xfId="0" applyNumberFormat="1" applyFont="1" applyBorder="1"/>
    <xf numFmtId="0" fontId="0" fillId="0" borderId="0" xfId="0"/>
    <xf numFmtId="0" fontId="9" fillId="36" borderId="0" xfId="0" applyFont="1" applyFill="1" applyAlignment="1">
      <alignment vertical="center"/>
    </xf>
    <xf numFmtId="0" fontId="9" fillId="36" borderId="0" xfId="1" applyFont="1" applyFill="1"/>
    <xf numFmtId="0" fontId="9" fillId="35" borderId="0" xfId="1" applyFill="1"/>
    <xf numFmtId="2" fontId="9" fillId="0" borderId="25" xfId="0" applyNumberFormat="1" applyFont="1" applyFill="1" applyBorder="1"/>
    <xf numFmtId="2" fontId="9" fillId="37" borderId="25" xfId="0" applyNumberFormat="1" applyFont="1" applyFill="1" applyBorder="1"/>
    <xf numFmtId="2" fontId="9" fillId="37" borderId="27" xfId="0" applyNumberFormat="1" applyFont="1" applyFill="1" applyBorder="1"/>
    <xf numFmtId="0" fontId="1" fillId="35" borderId="0" xfId="46" applyFont="1" applyFill="1"/>
    <xf numFmtId="0" fontId="9" fillId="35" borderId="0" xfId="0" applyFont="1" applyFill="1" applyAlignment="1">
      <alignment horizontal="right"/>
    </xf>
    <xf numFmtId="0" fontId="5" fillId="0" borderId="25" xfId="1" applyFont="1" applyBorder="1"/>
    <xf numFmtId="0" fontId="5" fillId="0" borderId="0" xfId="1" applyFont="1"/>
    <xf numFmtId="0" fontId="5" fillId="0" borderId="25" xfId="1" applyFont="1" applyBorder="1" applyAlignment="1">
      <alignment horizontal="left"/>
    </xf>
    <xf numFmtId="0" fontId="9" fillId="0" borderId="25" xfId="1" applyBorder="1" applyAlignment="1">
      <alignment horizontal="center"/>
    </xf>
    <xf numFmtId="0" fontId="9" fillId="0" borderId="33" xfId="1" applyBorder="1" applyAlignment="1">
      <alignment horizontal="center"/>
    </xf>
    <xf numFmtId="0" fontId="5" fillId="0" borderId="25" xfId="0" applyFont="1" applyBorder="1"/>
    <xf numFmtId="0" fontId="9" fillId="0" borderId="26" xfId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4" fillId="0" borderId="0" xfId="1" applyFont="1" applyFill="1"/>
    <xf numFmtId="0" fontId="0" fillId="0" borderId="0" xfId="0"/>
    <xf numFmtId="0" fontId="4" fillId="0" borderId="0" xfId="1" applyFont="1"/>
    <xf numFmtId="0" fontId="8" fillId="0" borderId="0" xfId="1" applyFont="1"/>
    <xf numFmtId="0" fontId="11" fillId="0" borderId="0" xfId="1" applyFont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4" fillId="0" borderId="29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0" xfId="1" applyFont="1" applyBorder="1" applyAlignment="1">
      <alignment horizontal="center"/>
    </xf>
    <xf numFmtId="0" fontId="33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5" sqref="B5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7" t="s">
        <v>57</v>
      </c>
      <c r="B2" s="127"/>
      <c r="C2" s="127"/>
      <c r="D2" s="127"/>
      <c r="E2" s="127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29" t="s">
        <v>5401</v>
      </c>
      <c r="B22" s="129"/>
      <c r="C22" s="129"/>
      <c r="D22" s="129"/>
      <c r="E22" s="129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28" t="s">
        <v>5402</v>
      </c>
      <c r="B24" s="128"/>
      <c r="C24" s="128"/>
      <c r="D24" s="128"/>
      <c r="E24" s="128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28" t="s">
        <v>61</v>
      </c>
      <c r="B39" s="128"/>
      <c r="C39" s="128"/>
      <c r="D39" s="128"/>
      <c r="E39" s="128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28" t="s">
        <v>62</v>
      </c>
      <c r="B45" s="128"/>
      <c r="C45" s="128"/>
      <c r="D45" s="128"/>
      <c r="E45" s="128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18" t="s">
        <v>43</v>
      </c>
      <c r="B93" s="119"/>
      <c r="C93" s="120"/>
      <c r="D93" s="121" t="s">
        <v>44</v>
      </c>
      <c r="E93" s="122"/>
    </row>
    <row r="94" spans="1:5" x14ac:dyDescent="0.2">
      <c r="A94" s="73" t="s">
        <v>23</v>
      </c>
      <c r="B94" s="123" t="s">
        <v>30</v>
      </c>
      <c r="C94" s="124"/>
      <c r="D94" s="3" t="s">
        <v>46</v>
      </c>
      <c r="E94" s="9">
        <v>8</v>
      </c>
    </row>
    <row r="95" spans="1:5" x14ac:dyDescent="0.2">
      <c r="A95" s="73" t="s">
        <v>24</v>
      </c>
      <c r="B95" s="125" t="s">
        <v>31</v>
      </c>
      <c r="C95" s="126"/>
      <c r="D95" s="3" t="s">
        <v>47</v>
      </c>
      <c r="E95" s="9">
        <v>7</v>
      </c>
    </row>
    <row r="96" spans="1:5" x14ac:dyDescent="0.2">
      <c r="A96" s="73" t="s">
        <v>3</v>
      </c>
      <c r="B96" s="125" t="s">
        <v>32</v>
      </c>
      <c r="C96" s="126"/>
      <c r="D96" s="3" t="s">
        <v>48</v>
      </c>
      <c r="E96" s="9">
        <v>6</v>
      </c>
    </row>
    <row r="97" spans="1:5" x14ac:dyDescent="0.2">
      <c r="A97" s="73" t="s">
        <v>25</v>
      </c>
      <c r="B97" s="125" t="s">
        <v>33</v>
      </c>
      <c r="C97" s="126"/>
      <c r="D97" s="3" t="s">
        <v>49</v>
      </c>
      <c r="E97" s="9">
        <v>5</v>
      </c>
    </row>
    <row r="98" spans="1:5" x14ac:dyDescent="0.2">
      <c r="A98" s="73" t="s">
        <v>26</v>
      </c>
      <c r="B98" s="125" t="s">
        <v>34</v>
      </c>
      <c r="C98" s="126"/>
      <c r="D98" s="3" t="s">
        <v>50</v>
      </c>
      <c r="E98" s="9">
        <v>4</v>
      </c>
    </row>
    <row r="99" spans="1:5" x14ac:dyDescent="0.2">
      <c r="A99" s="73" t="s">
        <v>27</v>
      </c>
      <c r="B99" s="125" t="s">
        <v>35</v>
      </c>
      <c r="C99" s="126"/>
      <c r="D99" s="3" t="s">
        <v>4</v>
      </c>
      <c r="E99" s="9">
        <v>3</v>
      </c>
    </row>
    <row r="100" spans="1:5" x14ac:dyDescent="0.2">
      <c r="A100" s="73" t="s">
        <v>2</v>
      </c>
      <c r="B100" s="125" t="s">
        <v>36</v>
      </c>
      <c r="C100" s="126"/>
      <c r="D100" s="3" t="s">
        <v>5</v>
      </c>
      <c r="E100" s="9">
        <v>2</v>
      </c>
    </row>
    <row r="101" spans="1:5" x14ac:dyDescent="0.2">
      <c r="A101" s="73" t="s">
        <v>28</v>
      </c>
      <c r="B101" s="125" t="s">
        <v>37</v>
      </c>
      <c r="C101" s="126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32" t="s">
        <v>38</v>
      </c>
      <c r="C102" s="133"/>
      <c r="D102" s="5"/>
      <c r="E102" s="8"/>
    </row>
    <row r="103" spans="1:5" ht="13.2" thickBot="1" x14ac:dyDescent="0.25">
      <c r="A103" s="118" t="s">
        <v>68</v>
      </c>
      <c r="B103" s="119"/>
      <c r="C103" s="120"/>
      <c r="D103" s="121" t="s">
        <v>45</v>
      </c>
      <c r="E103" s="122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18" t="s">
        <v>21</v>
      </c>
      <c r="B112" s="119"/>
      <c r="C112" s="122"/>
    </row>
    <row r="113" spans="1:3" x14ac:dyDescent="0.2">
      <c r="A113" s="73">
        <v>1</v>
      </c>
      <c r="B113" s="123" t="s">
        <v>40</v>
      </c>
      <c r="C113" s="124"/>
    </row>
    <row r="114" spans="1:3" x14ac:dyDescent="0.2">
      <c r="A114" s="73" t="s">
        <v>39</v>
      </c>
      <c r="B114" s="125" t="s">
        <v>41</v>
      </c>
      <c r="C114" s="126"/>
    </row>
    <row r="115" spans="1:3" x14ac:dyDescent="0.2">
      <c r="A115" s="74" t="s">
        <v>15</v>
      </c>
      <c r="B115" s="130" t="s">
        <v>42</v>
      </c>
      <c r="C115" s="131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6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7" t="s">
        <v>127</v>
      </c>
      <c r="B1" s="127"/>
      <c r="C1" s="127"/>
      <c r="D1" s="127"/>
      <c r="E1" s="127"/>
      <c r="F1" s="127"/>
      <c r="G1" s="127"/>
      <c r="H1" s="14"/>
    </row>
    <row r="2" spans="1:14" x14ac:dyDescent="0.2">
      <c r="A2" s="136" t="s">
        <v>138</v>
      </c>
      <c r="B2" s="136"/>
      <c r="C2" s="15"/>
      <c r="D2" s="15"/>
      <c r="E2" s="15"/>
      <c r="F2" s="15"/>
      <c r="G2" s="15"/>
      <c r="H2" s="15"/>
    </row>
    <row r="3" spans="1:14" x14ac:dyDescent="0.2">
      <c r="A3" s="137" t="s">
        <v>52</v>
      </c>
      <c r="B3" s="137"/>
      <c r="C3" s="15"/>
      <c r="D3" s="15"/>
      <c r="E3" s="15"/>
      <c r="F3" s="15"/>
      <c r="G3" s="15"/>
      <c r="H3" s="15"/>
    </row>
    <row r="4" spans="1:14" x14ac:dyDescent="0.2">
      <c r="A4" s="137" t="s">
        <v>55</v>
      </c>
      <c r="B4" s="137"/>
      <c r="C4" s="15"/>
      <c r="D4" s="15"/>
      <c r="E4" s="15"/>
      <c r="F4" s="15"/>
      <c r="G4" s="15"/>
      <c r="H4" s="15"/>
    </row>
    <row r="5" spans="1:14" x14ac:dyDescent="0.2">
      <c r="A5" s="137" t="s">
        <v>51</v>
      </c>
      <c r="B5" s="137"/>
      <c r="C5" s="15"/>
      <c r="D5" s="15"/>
      <c r="E5" s="15"/>
      <c r="F5" s="15"/>
      <c r="G5" s="15"/>
      <c r="H5" s="15"/>
    </row>
    <row r="6" spans="1:14" x14ac:dyDescent="0.2">
      <c r="A6" s="134" t="s">
        <v>128</v>
      </c>
      <c r="B6" s="134"/>
    </row>
    <row r="7" spans="1:14" x14ac:dyDescent="0.2">
      <c r="A7" s="134" t="s">
        <v>129</v>
      </c>
      <c r="B7" s="134"/>
      <c r="C7" s="135"/>
      <c r="D7" s="135"/>
      <c r="E7" s="135"/>
      <c r="F7" s="135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919" zoomScale="70" zoomScaleNormal="70" workbookViewId="0">
      <selection activeCell="A2755" sqref="A2755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89" t="s">
        <v>138</v>
      </c>
      <c r="B2" s="47"/>
      <c r="C2" s="46" t="s">
        <v>5454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9"/>
      <c r="C7" s="139"/>
      <c r="D7" s="139"/>
      <c r="E7" s="139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5442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5" t="s">
        <v>3757</v>
      </c>
      <c r="B12" s="44" t="str">
        <f>IF(LEN(VLOOKUP(A12,'Species List'!$A:$G,2,FALSE))=0,"",VLOOKUP(A12,'Species List'!$A:$G,2,FALSE))</f>
        <v>common buckthorn</v>
      </c>
      <c r="C12" s="44">
        <f>IF(LEN(VLOOKUP(A12,'Species List'!$A:$G,3,FALSE))=0,"",VLOOKUP(A12,'Species List'!$A:$G,3,FALSE))</f>
        <v>0</v>
      </c>
      <c r="D12" s="103">
        <f>VALUE(C12)</f>
        <v>0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110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 t="shared" ref="N12:N75" si="0">L12/$L$151</f>
        <v>0.36585365853658536</v>
      </c>
      <c r="O12" s="88">
        <f>D12*N12</f>
        <v>0</v>
      </c>
    </row>
    <row r="13" spans="1:15" x14ac:dyDescent="0.2">
      <c r="A13" s="105" t="s">
        <v>5440</v>
      </c>
      <c r="B13" s="44" t="e">
        <f>IF(LEN(VLOOKUP(A13,'Species List'!$A:$G,2,FALSE))=0,"",VLOOKUP(A13,'Species List'!$A:$G,2,FALSE))</f>
        <v>#N/A</v>
      </c>
      <c r="C13" s="44">
        <v>0</v>
      </c>
      <c r="D13" s="103">
        <f t="shared" ref="D13:D76" si="1">VALUE(C13)</f>
        <v>0</v>
      </c>
      <c r="E13" s="44" t="e">
        <f>IF(LEN(VLOOKUP(A13,'Species List'!$A:$G,4,FALSE))=0,"",VLOOKUP(A13,'Species List'!$A:$G,4,FALSE))</f>
        <v>#N/A</v>
      </c>
      <c r="F13" s="44" t="s">
        <v>152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110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88">
        <f t="shared" si="0"/>
        <v>0.36585365853658536</v>
      </c>
      <c r="O13" s="102">
        <f t="shared" ref="O13:O76" si="3">D13*N13</f>
        <v>0</v>
      </c>
    </row>
    <row r="14" spans="1:15" x14ac:dyDescent="0.2">
      <c r="A14" s="105" t="s">
        <v>4817</v>
      </c>
      <c r="B14" s="44" t="str">
        <f>IF(LEN(VLOOKUP(A14,'Species List'!$A:$G,2,FALSE))=0,"",VLOOKUP(A14,'Species List'!$A:$G,2,FALSE))</f>
        <v>prickly ash</v>
      </c>
      <c r="C14" s="44">
        <f>IF(LEN(VLOOKUP(A14,'Species List'!$A:$G,3,FALSE))=0,"",VLOOKUP(A14,'Species List'!$A:$G,3,FALSE))</f>
        <v>3</v>
      </c>
      <c r="D14" s="103">
        <f t="shared" si="1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0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2"/>
        <v>0.5</v>
      </c>
      <c r="N14" s="88">
        <f t="shared" si="0"/>
        <v>1.2195121951219513E-2</v>
      </c>
      <c r="O14" s="102">
        <f t="shared" si="3"/>
        <v>3.6585365853658541E-2</v>
      </c>
    </row>
    <row r="15" spans="1:15" x14ac:dyDescent="0.2">
      <c r="A15" s="105" t="s">
        <v>3851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3</v>
      </c>
      <c r="D15" s="103">
        <f t="shared" si="1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0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88">
        <f t="shared" si="0"/>
        <v>7.3170731707317069E-2</v>
      </c>
      <c r="O15" s="102">
        <f t="shared" si="3"/>
        <v>0.21951219512195119</v>
      </c>
    </row>
    <row r="16" spans="1:15" ht="14.4" x14ac:dyDescent="0.3">
      <c r="A16" s="109" t="s">
        <v>3538</v>
      </c>
      <c r="B16" s="44" t="str">
        <f>IF(LEN(VLOOKUP(A16,'Species List'!$A:$G,2,FALSE))=0,"",VLOOKUP(A16,'Species List'!$A:$G,2,FALSE))</f>
        <v>quaking aspen</v>
      </c>
      <c r="C16" s="44">
        <f>IF(LEN(VLOOKUP(A16,'Species List'!$A:$G,3,FALSE))=0,"",VLOOKUP(A16,'Species List'!$A:$G,3,FALSE))</f>
        <v>2</v>
      </c>
      <c r="D16" s="103">
        <f t="shared" si="1"/>
        <v>2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[FAC]</v>
      </c>
      <c r="H16" s="44">
        <f>VLOOKUP(A16,'Species List'!$A:$G,7,FALSE)</f>
        <v>0</v>
      </c>
      <c r="J16" s="110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7.3170731707317069E-2</v>
      </c>
      <c r="O16" s="102">
        <f t="shared" si="3"/>
        <v>0.14634146341463414</v>
      </c>
    </row>
    <row r="17" spans="1:15" x14ac:dyDescent="0.2">
      <c r="A17" s="95" t="s">
        <v>5441</v>
      </c>
      <c r="B17" s="44" t="e">
        <f>IF(LEN(VLOOKUP(A17,'Species List'!$A:$G,2,FALSE))=0,"",VLOOKUP(A17,'Species List'!$A:$G,2,FALSE))</f>
        <v>#N/A</v>
      </c>
      <c r="C17" s="44">
        <v>3</v>
      </c>
      <c r="D17" s="103">
        <f t="shared" si="1"/>
        <v>3</v>
      </c>
      <c r="E17" s="44" t="e">
        <f>IF(LEN(VLOOKUP(A17,'Species List'!$A:$G,4,FALSE))=0,"",VLOOKUP(A17,'Species List'!$A:$G,4,FALSE))</f>
        <v>#N/A</v>
      </c>
      <c r="F17" s="44" t="s">
        <v>147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110" t="s">
        <v>5420</v>
      </c>
      <c r="K17" s="47" t="str">
        <f>VLOOKUP(J17,'Species List'!$H$1:$J$9,2,FALSE)</f>
        <v>&gt;0-1%</v>
      </c>
      <c r="L17" s="47">
        <f>VLOOKUP(K17,'Species List'!$I$1:$N$8,2,FALSE)</f>
        <v>0.5</v>
      </c>
      <c r="M17" s="104">
        <f t="shared" si="2"/>
        <v>0.5</v>
      </c>
      <c r="N17" s="88">
        <f t="shared" si="0"/>
        <v>1.2195121951219513E-2</v>
      </c>
      <c r="O17" s="102">
        <f t="shared" si="3"/>
        <v>3.6585365853658541E-2</v>
      </c>
    </row>
    <row r="18" spans="1:15" x14ac:dyDescent="0.2">
      <c r="A18" s="95" t="s">
        <v>2145</v>
      </c>
      <c r="B18" s="44" t="str">
        <f>IF(LEN(VLOOKUP(A18,'Species List'!$A:$G,2,FALSE))=0,"",VLOOKUP(A18,'Species List'!$A:$G,2,FALSE))</f>
        <v>green ash</v>
      </c>
      <c r="C18" s="44">
        <f>IF(LEN(VLOOKUP(A18,'Species List'!$A:$G,3,FALSE))=0,"",VLOOKUP(A18,'Species List'!$A:$G,3,FALSE))</f>
        <v>2</v>
      </c>
      <c r="D18" s="103">
        <f t="shared" si="1"/>
        <v>2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FACW</v>
      </c>
      <c r="H18" s="44">
        <f>VLOOKUP(A18,'Species List'!$A:$G,7,FALSE)</f>
        <v>0</v>
      </c>
      <c r="J18" s="110" t="s">
        <v>5420</v>
      </c>
      <c r="K18" s="47" t="str">
        <f>VLOOKUP(J18,'Species List'!$H$1:$J$9,2,FALSE)</f>
        <v>&gt;0-1%</v>
      </c>
      <c r="L18" s="47">
        <f>VLOOKUP(K18,'Species List'!$I$1:$N$8,2,FALSE)</f>
        <v>0.5</v>
      </c>
      <c r="M18" s="104">
        <f t="shared" si="2"/>
        <v>0.5</v>
      </c>
      <c r="N18" s="88">
        <f t="shared" si="0"/>
        <v>1.2195121951219513E-2</v>
      </c>
      <c r="O18" s="102">
        <f t="shared" si="3"/>
        <v>2.4390243902439025E-2</v>
      </c>
    </row>
    <row r="19" spans="1:15" x14ac:dyDescent="0.2">
      <c r="A19" s="95" t="s">
        <v>2560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3</v>
      </c>
      <c r="D19" s="103">
        <f t="shared" si="1"/>
        <v>3</v>
      </c>
      <c r="E19" s="44" t="str">
        <f>IF(LEN(VLOOKUP(A19,'Species List'!$A:$G,4,FALSE))=0,"",VLOOKUP(A19,'Species List'!$A:$G,4,FALSE))</f>
        <v>E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0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7.3170731707317069E-2</v>
      </c>
      <c r="O19" s="102">
        <f t="shared" si="3"/>
        <v>0.21951219512195119</v>
      </c>
    </row>
    <row r="20" spans="1:15" x14ac:dyDescent="0.2">
      <c r="A20" s="95" t="s">
        <v>3698</v>
      </c>
      <c r="B20" s="44" t="str">
        <f>IF(LEN(VLOOKUP(A20,'Species List'!$A:$G,2,FALSE))=0,"",VLOOKUP(A20,'Species List'!$A:$G,2,FALSE))</f>
        <v>northern red oak</v>
      </c>
      <c r="C20" s="44">
        <f>IF(LEN(VLOOKUP(A20,'Species List'!$A:$G,3,FALSE))=0,"",VLOOKUP(A20,'Species List'!$A:$G,3,FALSE))</f>
        <v>5</v>
      </c>
      <c r="D20" s="103">
        <f t="shared" si="1"/>
        <v>5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0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2"/>
        <v>0.5</v>
      </c>
      <c r="N20" s="88">
        <f t="shared" si="0"/>
        <v>1.2195121951219513E-2</v>
      </c>
      <c r="O20" s="102">
        <f t="shared" si="3"/>
        <v>6.097560975609756E-2</v>
      </c>
    </row>
    <row r="21" spans="1:15" x14ac:dyDescent="0.2">
      <c r="A21" s="111" t="s">
        <v>4768</v>
      </c>
      <c r="B21" s="44" t="str">
        <f>IF(LEN(VLOOKUP(A21,'Species List'!$A:$G,2,FALSE))=0,"",VLOOKUP(A21,'Species List'!$A:$G,2,FALSE))</f>
        <v>wild grape</v>
      </c>
      <c r="C21" s="44">
        <f>IF(LEN(VLOOKUP(A21,'Species List'!$A:$G,3,FALSE))=0,"",VLOOKUP(A21,'Species List'!$A:$G,3,FALSE))</f>
        <v>2</v>
      </c>
      <c r="D21" s="103">
        <f t="shared" si="1"/>
        <v>2</v>
      </c>
      <c r="E21" s="44" t="str">
        <f>IF(LEN(VLOOKUP(A21,'Species List'!$A:$G,4,FALSE))=0,"",VLOOKUP(A21,'Species List'!$A:$G,4,FALSE))</f>
        <v>C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FACW-</v>
      </c>
      <c r="H21" s="44">
        <f>VLOOKUP(A21,'Species List'!$A:$G,7,FALSE)</f>
        <v>0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88" t="e">
        <f t="shared" si="0"/>
        <v>#N/A</v>
      </c>
      <c r="O21" s="102" t="e">
        <f t="shared" si="3"/>
        <v>#N/A</v>
      </c>
    </row>
    <row r="22" spans="1:15" x14ac:dyDescent="0.2">
      <c r="A22" s="112" t="s">
        <v>5433</v>
      </c>
      <c r="B22" s="44" t="str">
        <f>IF(LEN(VLOOKUP(A22,'Species List'!$A:$G,2,FALSE))=0,"",VLOOKUP(A22,'Species List'!$A:$G,2,FALSE))</f>
        <v>woodbine</v>
      </c>
      <c r="C22" s="44">
        <f>IF(LEN(VLOOKUP(A22,'Species List'!$A:$G,3,FALSE))=0,"",VLOOKUP(A22,'Species List'!$A:$G,3,FALSE))</f>
        <v>2</v>
      </c>
      <c r="D22" s="103">
        <f t="shared" si="1"/>
        <v>2</v>
      </c>
      <c r="E22" s="44" t="str">
        <f>IF(LEN(VLOOKUP(A22,'Species List'!$A:$G,4,FALSE))=0,"",VLOOKUP(A22,'Species List'!$A:$G,4,FALSE))</f>
        <v>C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</v>
      </c>
      <c r="H22" s="44">
        <f>VLOOKUP(A22,'Species List'!$A:$G,7,FALSE)</f>
        <v>0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88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1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88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1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88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1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88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1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88" t="e">
        <f t="shared" si="0"/>
        <v>#N/A</v>
      </c>
      <c r="O26" s="102" t="e">
        <f t="shared" si="3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1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88" t="e">
        <f t="shared" si="0"/>
        <v>#N/A</v>
      </c>
      <c r="O27" s="102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1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88" t="e">
        <f t="shared" si="0"/>
        <v>#N/A</v>
      </c>
      <c r="O28" s="102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41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P151"/>
  <sheetViews>
    <sheetView topLeftCell="A15" workbookViewId="0">
      <selection activeCell="F34" sqref="F34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9"/>
      <c r="C7" s="139"/>
      <c r="D7" s="139"/>
      <c r="E7" s="139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5443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1" t="s">
        <v>4232</v>
      </c>
      <c r="B12" s="44" t="str">
        <f>IF(LEN(VLOOKUP(A12,'Species List'!$A:$G,2,FALSE))=0,"",VLOOKUP(A12,'Species List'!$A:$G,2,FALSE))</f>
        <v>gray goldenrod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/>
      </c>
      <c r="H12" s="44">
        <f>VLOOKUP(A12,'Species List'!$A:$G,7,FALSE)</f>
        <v>0</v>
      </c>
      <c r="J12" s="114">
        <v>1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5.5555555555555552E-2</v>
      </c>
      <c r="O12" s="88">
        <f>D12*N12</f>
        <v>0.22222222222222221</v>
      </c>
    </row>
    <row r="13" spans="1:15" x14ac:dyDescent="0.2">
      <c r="A13" s="111" t="s">
        <v>4447</v>
      </c>
      <c r="B13" s="44" t="str">
        <f>IF(LEN(VLOOKUP(A13,'Species List'!$A:$G,2,FALSE))=0,"",VLOOKUP(A13,'Species List'!$A:$G,2,FALSE))</f>
        <v>silky aster</v>
      </c>
      <c r="C13" s="44">
        <f>IF(LEN(VLOOKUP(A13,'Species List'!$A:$G,3,FALSE))=0,"",VLOOKUP(A13,'Species List'!$A:$G,3,FALSE))</f>
        <v>8</v>
      </c>
      <c r="D13" s="103">
        <f t="shared" ref="D13:D76" si="0">VALUE(C13)</f>
        <v>8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14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5.5555555555555552E-2</v>
      </c>
      <c r="O13" s="102">
        <f t="shared" ref="O13:O76" si="3">D13*N13</f>
        <v>0.44444444444444442</v>
      </c>
    </row>
    <row r="14" spans="1:15" x14ac:dyDescent="0.2">
      <c r="A14" s="111" t="s">
        <v>4750</v>
      </c>
      <c r="B14" s="44" t="str">
        <f>IF(LEN(VLOOKUP(A14,'Species List'!$A:$G,2,FALSE))=0,"",VLOOKUP(A14,'Species List'!$A:$G,2,FALSE))</f>
        <v>beardless birdfoot violet</v>
      </c>
      <c r="C14" s="44">
        <f>IF(LEN(VLOOKUP(A14,'Species List'!$A:$G,3,FALSE))=0,"",VLOOKUP(A14,'Species List'!$A:$G,3,FALSE))</f>
        <v>7</v>
      </c>
      <c r="D14" s="103">
        <f t="shared" si="0"/>
        <v>7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UPL</v>
      </c>
      <c r="H14" s="44">
        <f>VLOOKUP(A14,'Species List'!$A:$G,7,FALSE)</f>
        <v>0</v>
      </c>
      <c r="J14" s="114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5.5555555555555552E-2</v>
      </c>
      <c r="O14" s="102">
        <f t="shared" si="3"/>
        <v>0.38888888888888884</v>
      </c>
    </row>
    <row r="15" spans="1:15" x14ac:dyDescent="0.2">
      <c r="A15" s="113" t="s">
        <v>1615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7</v>
      </c>
      <c r="D15" s="103">
        <f t="shared" si="0"/>
        <v>7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4" t="s">
        <v>5420</v>
      </c>
      <c r="K15" s="47" t="str">
        <f>VLOOKUP(J15,'Species List'!$H$1:$J$9,2,FALSE)</f>
        <v>&gt;0-1%</v>
      </c>
      <c r="L15" s="47">
        <f>VLOOKUP(K15,'Species List'!$I$1:$N$8,2,FALSE)</f>
        <v>0.5</v>
      </c>
      <c r="M15" s="104">
        <f t="shared" si="1"/>
        <v>0.5</v>
      </c>
      <c r="N15" s="102">
        <f t="shared" si="2"/>
        <v>9.2592592592592587E-3</v>
      </c>
      <c r="O15" s="102">
        <f t="shared" si="3"/>
        <v>6.4814814814814811E-2</v>
      </c>
    </row>
    <row r="16" spans="1:15" x14ac:dyDescent="0.2">
      <c r="A16" s="111" t="s">
        <v>4434</v>
      </c>
      <c r="B16" s="44" t="str">
        <f>IF(LEN(VLOOKUP(A16,'Species List'!$A:$G,2,FALSE))=0,"",VLOOKUP(A16,'Species List'!$A:$G,2,FALSE))</f>
        <v>skyblue aster</v>
      </c>
      <c r="C16" s="44">
        <f>IF(LEN(VLOOKUP(A16,'Species List'!$A:$G,3,FALSE))=0,"",VLOOKUP(A16,'Species List'!$A:$G,3,FALSE))</f>
        <v>5</v>
      </c>
      <c r="D16" s="103">
        <f t="shared" si="0"/>
        <v>5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14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5.5555555555555552E-2</v>
      </c>
      <c r="O16" s="102">
        <f t="shared" si="3"/>
        <v>0.27777777777777779</v>
      </c>
    </row>
    <row r="17" spans="1:16" x14ac:dyDescent="0.2">
      <c r="A17" s="111" t="s">
        <v>2947</v>
      </c>
      <c r="B17" s="44" t="str">
        <f>IF(LEN(VLOOKUP(A17,'Species List'!$A:$G,2,FALSE))=0,"",VLOOKUP(A17,'Species List'!$A:$G,2,FALSE))</f>
        <v>wild bergamot</v>
      </c>
      <c r="C17" s="44">
        <f>IF(LEN(VLOOKUP(A17,'Species List'!$A:$G,3,FALSE))=0,"",VLOOKUP(A17,'Species List'!$A:$G,3,FALSE))</f>
        <v>3</v>
      </c>
      <c r="D17" s="103">
        <f t="shared" si="0"/>
        <v>3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114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5.5555555555555552E-2</v>
      </c>
      <c r="O17" s="102">
        <f t="shared" si="3"/>
        <v>0.16666666666666666</v>
      </c>
    </row>
    <row r="18" spans="1:16" x14ac:dyDescent="0.2">
      <c r="A18" s="111" t="s">
        <v>552</v>
      </c>
      <c r="B18" s="44" t="str">
        <f>IF(LEN(VLOOKUP(A18,'Species List'!$A:$G,2,FALSE))=0,"",VLOOKUP(A18,'Species List'!$A:$G,2,FALSE))</f>
        <v>common milkweed</v>
      </c>
      <c r="C18" s="44">
        <f>IF(LEN(VLOOKUP(A18,'Species List'!$A:$G,3,FALSE))=0,"",VLOOKUP(A18,'Species List'!$A:$G,3,FALSE))</f>
        <v>1</v>
      </c>
      <c r="D18" s="103">
        <f t="shared" si="0"/>
        <v>1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4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5.5555555555555552E-2</v>
      </c>
      <c r="O18" s="102">
        <f t="shared" si="3"/>
        <v>5.5555555555555552E-2</v>
      </c>
    </row>
    <row r="19" spans="1:16" x14ac:dyDescent="0.2">
      <c r="A19" s="111" t="s">
        <v>5444</v>
      </c>
      <c r="B19" s="44" t="e">
        <f>IF(LEN(VLOOKUP(A19,'Species List'!$A:$G,2,FALSE))=0,"",VLOOKUP(A19,'Species List'!$A:$G,2,FALSE))</f>
        <v>#N/A</v>
      </c>
      <c r="C19" s="44">
        <v>2</v>
      </c>
      <c r="D19" s="103">
        <f t="shared" si="0"/>
        <v>2</v>
      </c>
      <c r="E19" s="44" t="e">
        <f>IF(LEN(VLOOKUP(A19,'Species List'!$A:$G,4,FALSE))=0,"",VLOOKUP(A19,'Species List'!$A:$G,4,FALSE))</f>
        <v>#N/A</v>
      </c>
      <c r="F19" s="44" t="s">
        <v>147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114">
        <v>1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5.5555555555555552E-2</v>
      </c>
      <c r="O19" s="102">
        <f t="shared" si="3"/>
        <v>0.1111111111111111</v>
      </c>
    </row>
    <row r="20" spans="1:16" x14ac:dyDescent="0.2">
      <c r="A20" s="111" t="s">
        <v>234</v>
      </c>
      <c r="B20" s="44" t="str">
        <f>IF(LEN(VLOOKUP(A20,'Species List'!$A:$G,2,FALSE))=0,"",VLOOKUP(A20,'Species List'!$A:$G,2,FALSE))</f>
        <v>white snakeroot</v>
      </c>
      <c r="C20" s="44">
        <f>IF(LEN(VLOOKUP(A20,'Species List'!$A:$G,3,FALSE))=0,"",VLOOKUP(A20,'Species List'!$A:$G,3,FALSE))</f>
        <v>1</v>
      </c>
      <c r="D20" s="103">
        <f t="shared" si="0"/>
        <v>1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4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1"/>
        <v>0.5</v>
      </c>
      <c r="N20" s="102">
        <f t="shared" si="2"/>
        <v>9.2592592592592587E-3</v>
      </c>
      <c r="O20" s="102">
        <f t="shared" si="3"/>
        <v>9.2592592592592587E-3</v>
      </c>
    </row>
    <row r="21" spans="1:16" x14ac:dyDescent="0.2">
      <c r="A21" s="111" t="s">
        <v>557</v>
      </c>
      <c r="B21" s="44" t="str">
        <f>IF(LEN(VLOOKUP(A21,'Species List'!$A:$G,2,FALSE))=0,"",VLOOKUP(A21,'Species List'!$A:$G,2,FALSE))</f>
        <v>whorled milkweed</v>
      </c>
      <c r="C21" s="44">
        <f>IF(LEN(VLOOKUP(A21,'Species List'!$A:$G,3,FALSE))=0,"",VLOOKUP(A21,'Species List'!$A:$G,3,FALSE))</f>
        <v>2</v>
      </c>
      <c r="D21" s="103">
        <f t="shared" si="0"/>
        <v>2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11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5.5555555555555552E-2</v>
      </c>
      <c r="O21" s="102">
        <f t="shared" si="3"/>
        <v>0.1111111111111111</v>
      </c>
    </row>
    <row r="22" spans="1:16" x14ac:dyDescent="0.2">
      <c r="A22" s="111" t="s">
        <v>4098</v>
      </c>
      <c r="B22" s="44" t="str">
        <f>IF(LEN(VLOOKUP(A22,'Species List'!$A:$G,2,FALSE))=0,"",VLOOKUP(A22,'Species List'!$A:$G,2,FALSE))</f>
        <v>Leonard's skullcap</v>
      </c>
      <c r="C22" s="44">
        <v>7</v>
      </c>
      <c r="D22" s="103">
        <f t="shared" si="0"/>
        <v>7</v>
      </c>
      <c r="E22" s="44" t="str">
        <f>IF(LEN(VLOOKUP(A22,'Species List'!$A:$G,4,FALSE))=0,"",VLOOKUP(A22,'Species List'!$A:$G,4,FALSE))</f>
        <v>H</v>
      </c>
      <c r="F22" s="44" t="s">
        <v>147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114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5.5555555555555552E-2</v>
      </c>
      <c r="O22" s="102">
        <f t="shared" si="3"/>
        <v>0.38888888888888884</v>
      </c>
      <c r="P22" s="88" t="s">
        <v>5446</v>
      </c>
    </row>
    <row r="23" spans="1:16" x14ac:dyDescent="0.2">
      <c r="A23" s="111" t="s">
        <v>1373</v>
      </c>
      <c r="B23" s="44" t="str">
        <f>IF(LEN(VLOOKUP(A23,'Species List'!$A:$G,2,FALSE))=0,"",VLOOKUP(A23,'Species List'!$A:$G,2,FALSE))</f>
        <v>Canada thistle</v>
      </c>
      <c r="C23" s="44">
        <f>IF(LEN(VLOOKUP(A23,'Species List'!$A:$G,3,FALSE))=0,"",VLOOKUP(A23,'Species List'!$A:$G,3,FALSE))</f>
        <v>0</v>
      </c>
      <c r="D23" s="103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4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5.5555555555555552E-2</v>
      </c>
      <c r="O23" s="102">
        <f t="shared" si="3"/>
        <v>0</v>
      </c>
    </row>
    <row r="24" spans="1:16" x14ac:dyDescent="0.2">
      <c r="A24" s="111" t="s">
        <v>1634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7</v>
      </c>
      <c r="D24" s="103">
        <f t="shared" si="0"/>
        <v>7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114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5.5555555555555552E-2</v>
      </c>
      <c r="O24" s="102">
        <f t="shared" si="3"/>
        <v>0.38888888888888884</v>
      </c>
    </row>
    <row r="25" spans="1:16" x14ac:dyDescent="0.2">
      <c r="A25" s="111" t="s">
        <v>4653</v>
      </c>
      <c r="B25" s="44" t="str">
        <f>IF(LEN(VLOOKUP(A25,'Species List'!$A:$G,2,FALSE))=0,"",VLOOKUP(A25,'Species List'!$A:$G,2,FALSE))</f>
        <v>common mullein</v>
      </c>
      <c r="C25" s="44">
        <f>IF(LEN(VLOOKUP(A25,'Species List'!$A:$G,3,FALSE))=0,"",VLOOKUP(A25,'Species List'!$A:$G,3,FALSE))</f>
        <v>0</v>
      </c>
      <c r="D25" s="103">
        <f t="shared" si="0"/>
        <v>0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Introduced</v>
      </c>
      <c r="G25" s="44" t="str">
        <f>IF(LEN(VLOOKUP(A25,'Species List'!$A:$G,6,FALSE))=0,"",VLOOKUP(A25,'Species List'!$A:$G,6,FALSE))</f>
        <v>UPL</v>
      </c>
      <c r="H25" s="44">
        <f>VLOOKUP(A25,'Species List'!$A:$G,7,FALSE)</f>
        <v>0</v>
      </c>
      <c r="J25" s="114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5.5555555555555552E-2</v>
      </c>
      <c r="O25" s="102">
        <f t="shared" si="3"/>
        <v>0</v>
      </c>
    </row>
    <row r="26" spans="1:16" x14ac:dyDescent="0.2">
      <c r="A26" s="111" t="s">
        <v>579</v>
      </c>
      <c r="B26" s="44" t="str">
        <f>IF(LEN(VLOOKUP(A26,'Species List'!$A:$G,2,FALSE))=0,"",VLOOKUP(A26,'Species List'!$A:$G,2,FALSE))</f>
        <v/>
      </c>
      <c r="C26" s="44">
        <f>IF(LEN(VLOOKUP(A26,'Species List'!$A:$G,3,FALSE))=0,"",VLOOKUP(A26,'Species List'!$A:$G,3,FALSE))</f>
        <v>10</v>
      </c>
      <c r="D26" s="103">
        <f t="shared" si="0"/>
        <v>10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114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5.5555555555555552E-2</v>
      </c>
      <c r="O26" s="102">
        <f t="shared" si="3"/>
        <v>0.55555555555555558</v>
      </c>
    </row>
    <row r="27" spans="1:16" x14ac:dyDescent="0.2">
      <c r="A27" s="113" t="s">
        <v>2187</v>
      </c>
      <c r="B27" s="44" t="str">
        <f>IF(LEN(VLOOKUP(A27,'Species List'!$A:$G,2,FALSE))=0,"",VLOOKUP(A27,'Species List'!$A:$G,2,FALSE))</f>
        <v/>
      </c>
      <c r="C27" s="44">
        <f>IF(LEN(VLOOKUP(A27,'Species List'!$A:$G,3,FALSE))=0,"",VLOOKUP(A27,'Species List'!$A:$G,3,FALSE))</f>
        <v>4</v>
      </c>
      <c r="D27" s="103">
        <f t="shared" si="0"/>
        <v>4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FACU+</v>
      </c>
      <c r="H27" s="44">
        <f>VLOOKUP(A27,'Species List'!$A:$G,7,FALSE)</f>
        <v>0</v>
      </c>
      <c r="J27" s="114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5.5555555555555552E-2</v>
      </c>
      <c r="O27" s="102">
        <f t="shared" si="3"/>
        <v>0.22222222222222221</v>
      </c>
    </row>
    <row r="28" spans="1:16" x14ac:dyDescent="0.2">
      <c r="A28" s="111" t="s">
        <v>2695</v>
      </c>
      <c r="B28" s="44" t="str">
        <f>IF(LEN(VLOOKUP(A28,'Species List'!$A:$G,2,FALSE))=0,"",VLOOKUP(A28,'Species List'!$A:$G,2,FALSE))</f>
        <v>grooved yellow flax</v>
      </c>
      <c r="C28" s="44">
        <f>IF(LEN(VLOOKUP(A28,'Species List'!$A:$G,3,FALSE))=0,"",VLOOKUP(A28,'Species List'!$A:$G,3,FALSE))</f>
        <v>8</v>
      </c>
      <c r="D28" s="103">
        <f t="shared" si="0"/>
        <v>8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4" t="s">
        <v>5420</v>
      </c>
      <c r="K28" s="47" t="str">
        <f>VLOOKUP(J28,'Species List'!$H$1:$J$9,2,FALSE)</f>
        <v>&gt;0-1%</v>
      </c>
      <c r="L28" s="47">
        <f>VLOOKUP(K28,'Species List'!$I$1:$N$8,2,FALSE)</f>
        <v>0.5</v>
      </c>
      <c r="M28" s="104">
        <f t="shared" si="1"/>
        <v>0.5</v>
      </c>
      <c r="N28" s="102">
        <f t="shared" si="2"/>
        <v>9.2592592592592587E-3</v>
      </c>
      <c r="O28" s="102">
        <f t="shared" si="3"/>
        <v>7.407407407407407E-2</v>
      </c>
    </row>
    <row r="29" spans="1:16" x14ac:dyDescent="0.2">
      <c r="A29" s="111" t="s">
        <v>3753</v>
      </c>
      <c r="B29" s="44" t="str">
        <f>IF(LEN(VLOOKUP(A29,'Species List'!$A:$G,2,FALSE))=0,"",VLOOKUP(A29,'Species List'!$A:$G,2,FALSE))</f>
        <v>gray-headed coneflower</v>
      </c>
      <c r="C29" s="44">
        <f>IF(LEN(VLOOKUP(A29,'Species List'!$A:$G,3,FALSE))=0,"",VLOOKUP(A29,'Species List'!$A:$G,3,FALSE))</f>
        <v>4</v>
      </c>
      <c r="D29" s="103">
        <f t="shared" si="0"/>
        <v>4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/>
      </c>
      <c r="H29" s="44">
        <f>VLOOKUP(A29,'Species List'!$A:$G,7,FALSE)</f>
        <v>0</v>
      </c>
      <c r="J29" s="114" t="s">
        <v>5420</v>
      </c>
      <c r="K29" s="47" t="str">
        <f>VLOOKUP(J29,'Species List'!$H$1:$J$9,2,FALSE)</f>
        <v>&gt;0-1%</v>
      </c>
      <c r="L29" s="47">
        <f>VLOOKUP(K29,'Species List'!$I$1:$N$8,2,FALSE)</f>
        <v>0.5</v>
      </c>
      <c r="M29" s="104">
        <f t="shared" si="1"/>
        <v>0.5</v>
      </c>
      <c r="N29" s="102">
        <f t="shared" si="2"/>
        <v>9.2592592592592587E-3</v>
      </c>
      <c r="O29" s="102">
        <f t="shared" si="3"/>
        <v>3.7037037037037035E-2</v>
      </c>
    </row>
    <row r="30" spans="1:16" x14ac:dyDescent="0.2">
      <c r="A30" s="111" t="s">
        <v>1420</v>
      </c>
      <c r="B30" s="44" t="str">
        <f>IF(LEN(VLOOKUP(A30,'Species List'!$A:$G,2,FALSE))=0,"",VLOOKUP(A30,'Species List'!$A:$G,2,FALSE))</f>
        <v>horseweed</v>
      </c>
      <c r="C30" s="44">
        <f>IF(LEN(VLOOKUP(A30,'Species List'!$A:$G,3,FALSE))=0,"",VLOOKUP(A30,'Species List'!$A:$G,3,FALSE))</f>
        <v>0</v>
      </c>
      <c r="D30" s="103">
        <f t="shared" si="0"/>
        <v>0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[FAC-]</v>
      </c>
      <c r="H30" s="44">
        <f>VLOOKUP(A30,'Species List'!$A:$G,7,FALSE)</f>
        <v>0</v>
      </c>
      <c r="J30" s="114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5.5555555555555552E-2</v>
      </c>
      <c r="O30" s="102">
        <f t="shared" si="3"/>
        <v>0</v>
      </c>
    </row>
    <row r="31" spans="1:16" x14ac:dyDescent="0.2">
      <c r="A31" s="111" t="s">
        <v>890</v>
      </c>
      <c r="B31" s="44" t="str">
        <f>IF(LEN(VLOOKUP(A31,'Species List'!$A:$G,2,FALSE))=0,"",VLOOKUP(A31,'Species List'!$A:$G,2,FALSE))</f>
        <v>plumeless thistle</v>
      </c>
      <c r="C31" s="44">
        <f>IF(LEN(VLOOKUP(A31,'Species List'!$A:$G,3,FALSE))=0,"",VLOOKUP(A31,'Species List'!$A:$G,3,FALSE))</f>
        <v>0</v>
      </c>
      <c r="D31" s="103">
        <f t="shared" si="0"/>
        <v>0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Introduced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114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4">
        <f t="shared" si="1"/>
        <v>0.5</v>
      </c>
      <c r="N31" s="102">
        <f t="shared" si="2"/>
        <v>9.2592592592592587E-3</v>
      </c>
      <c r="O31" s="102">
        <f t="shared" si="3"/>
        <v>0</v>
      </c>
    </row>
    <row r="32" spans="1:16" x14ac:dyDescent="0.2">
      <c r="A32" s="111" t="s">
        <v>3882</v>
      </c>
      <c r="B32" s="44" t="str">
        <f>IF(LEN(VLOOKUP(A32,'Species List'!$A:$G,2,FALSE))=0,"",VLOOKUP(A32,'Species List'!$A:$G,2,FALSE))</f>
        <v>black-eyed susan</v>
      </c>
      <c r="C32" s="44">
        <f>IF(LEN(VLOOKUP(A32,'Species List'!$A:$G,3,FALSE))=0,"",VLOOKUP(A32,'Species List'!$A:$G,3,FALSE))</f>
        <v>4</v>
      </c>
      <c r="D32" s="103">
        <f t="shared" si="0"/>
        <v>4</v>
      </c>
      <c r="E32" s="44" t="str">
        <f>IF(LEN(VLOOKUP(A32,'Species List'!$A:$G,4,FALSE))=0,"",VLOOKUP(A32,'Species List'!$A:$G,4,FALSE))</f>
        <v/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114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5.5555555555555552E-2</v>
      </c>
      <c r="O32" s="102">
        <f t="shared" si="3"/>
        <v>0.22222222222222221</v>
      </c>
    </row>
    <row r="33" spans="1:15" x14ac:dyDescent="0.2">
      <c r="A33" s="111" t="s">
        <v>5445</v>
      </c>
      <c r="B33" s="44" t="e">
        <f>IF(LEN(VLOOKUP(A33,'Species List'!$A:$G,2,FALSE))=0,"",VLOOKUP(A33,'Species List'!$A:$G,2,FALSE))</f>
        <v>#N/A</v>
      </c>
      <c r="C33" s="44">
        <v>1</v>
      </c>
      <c r="D33" s="103">
        <f t="shared" si="0"/>
        <v>1</v>
      </c>
      <c r="E33" s="44" t="e">
        <f>IF(LEN(VLOOKUP(A33,'Species List'!$A:$G,4,FALSE))=0,"",VLOOKUP(A33,'Species List'!$A:$G,4,FALSE))</f>
        <v>#N/A</v>
      </c>
      <c r="F33" s="44" t="s">
        <v>147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114" t="s">
        <v>5420</v>
      </c>
      <c r="K33" s="47" t="str">
        <f>VLOOKUP(J33,'Species List'!$H$1:$J$9,2,FALSE)</f>
        <v>&gt;0-1%</v>
      </c>
      <c r="L33" s="47">
        <f>VLOOKUP(K33,'Species List'!$I$1:$N$8,2,FALSE)</f>
        <v>0.5</v>
      </c>
      <c r="M33" s="104">
        <f t="shared" si="1"/>
        <v>0.5</v>
      </c>
      <c r="N33" s="102">
        <f t="shared" si="2"/>
        <v>9.2592592592592587E-3</v>
      </c>
      <c r="O33" s="102">
        <f t="shared" si="3"/>
        <v>9.2592592592592587E-3</v>
      </c>
    </row>
    <row r="34" spans="1:15" x14ac:dyDescent="0.2">
      <c r="A34" s="111" t="s">
        <v>3151</v>
      </c>
      <c r="B34" s="44" t="str">
        <f>IF(LEN(VLOOKUP(A34,'Species List'!$A:$G,2,FALSE))=0,"",VLOOKUP(A34,'Species List'!$A:$G,2,FALSE))</f>
        <v>yellow wood sorrel</v>
      </c>
      <c r="C34" s="44">
        <f>IF(LEN(VLOOKUP(A34,'Species List'!$A:$G,3,FALSE))=0,"",VLOOKUP(A34,'Species List'!$A:$G,3,FALSE))</f>
        <v>0</v>
      </c>
      <c r="D34" s="103">
        <f t="shared" si="0"/>
        <v>0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[FACU]</v>
      </c>
      <c r="H34" s="44">
        <f>VLOOKUP(A34,'Species List'!$A:$G,7,FALSE)</f>
        <v>0</v>
      </c>
      <c r="J34" s="114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5.5555555555555552E-2</v>
      </c>
      <c r="O34" s="102">
        <f t="shared" si="3"/>
        <v>0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2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54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F23" sqref="F23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8" t="s">
        <v>127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9"/>
      <c r="C7" s="139"/>
      <c r="D7" s="139"/>
      <c r="E7" s="139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6" t="s">
        <v>5447</v>
      </c>
      <c r="B12" s="44" t="e">
        <f>IF(LEN(VLOOKUP(A12,'Species List'!$A:$G,2,FALSE))=0,"",VLOOKUP(A12,'Species List'!$A:$G,2,FALSE))</f>
        <v>#N/A</v>
      </c>
      <c r="C12" s="44">
        <v>3</v>
      </c>
      <c r="D12" s="103">
        <f>VALUE(C12)</f>
        <v>3</v>
      </c>
      <c r="E12" s="44" t="e">
        <f>IF(LEN(VLOOKUP(A12,'Species List'!$A:$G,4,FALSE))=0,"",VLOOKUP(A12,'Species List'!$A:$G,4,FALSE))</f>
        <v>#N/A</v>
      </c>
      <c r="F12" s="44" t="s">
        <v>147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114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2.4691358024691357E-2</v>
      </c>
      <c r="O12" s="31">
        <f>D12*N12</f>
        <v>7.407407407407407E-2</v>
      </c>
    </row>
    <row r="13" spans="1:15" x14ac:dyDescent="0.2">
      <c r="A13" s="111" t="s">
        <v>3445</v>
      </c>
      <c r="B13" s="44" t="str">
        <f>IF(LEN(VLOOKUP(A13,'Species List'!$A:$G,2,FALSE))=0,"",VLOOKUP(A13,'Species List'!$A:$G,2,FALSE))</f>
        <v>Kentucky bluegrass</v>
      </c>
      <c r="C13" s="44">
        <f>IF(LEN(VLOOKUP(A13,'Species List'!$A:$G,3,FALSE))=0,"",VLOOKUP(A13,'Species List'!$A:$G,3,FALSE))</f>
        <v>0</v>
      </c>
      <c r="D13" s="103">
        <f t="shared" ref="D13:D18" si="1">VALUE(C13)</f>
        <v>0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FAC</v>
      </c>
      <c r="H13" s="44">
        <f>VLOOKUP(A13,'Species List'!$A:$G,7,FALSE)</f>
        <v>0</v>
      </c>
      <c r="J13" s="114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102">
        <f t="shared" si="0"/>
        <v>0.12345679012345678</v>
      </c>
      <c r="O13" s="102">
        <f t="shared" ref="O13:O76" si="3">D13*N13</f>
        <v>0</v>
      </c>
    </row>
    <row r="14" spans="1:15" x14ac:dyDescent="0.2">
      <c r="A14" s="111" t="s">
        <v>757</v>
      </c>
      <c r="B14" s="44" t="str">
        <f>IF(LEN(VLOOKUP(A14,'Species List'!$A:$G,2,FALSE))=0,"",VLOOKUP(A14,'Species List'!$A:$G,2,FALSE))</f>
        <v/>
      </c>
      <c r="C14" s="44">
        <f>IF(LEN(VLOOKUP(A14,'Species List'!$A:$G,3,FALSE))=0,"",VLOOKUP(A14,'Species List'!$A:$G,3,FALSE))</f>
        <v>6</v>
      </c>
      <c r="D14" s="103">
        <f t="shared" si="1"/>
        <v>6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114">
        <v>3</v>
      </c>
      <c r="K14" s="47" t="str">
        <f>VLOOKUP(J14,'Species List'!$H$1:$J$9,2,FALSE)</f>
        <v>&gt;25-50%</v>
      </c>
      <c r="L14" s="47">
        <f>VLOOKUP(K14,'Species List'!$I$1:$N$8,2,FALSE)</f>
        <v>37.5</v>
      </c>
      <c r="M14" s="104">
        <f t="shared" si="2"/>
        <v>37.5</v>
      </c>
      <c r="N14" s="102">
        <f t="shared" si="0"/>
        <v>0.30864197530864196</v>
      </c>
      <c r="O14" s="102">
        <f t="shared" si="3"/>
        <v>1.8518518518518516</v>
      </c>
    </row>
    <row r="15" spans="1:15" x14ac:dyDescent="0.2">
      <c r="A15" s="111" t="s">
        <v>373</v>
      </c>
      <c r="B15" s="44" t="str">
        <f>IF(LEN(VLOOKUP(A15,'Species List'!$A:$G,2,FALSE))=0,"",VLOOKUP(A15,'Species List'!$A:$G,2,FALSE))</f>
        <v>big bluestem</v>
      </c>
      <c r="C15" s="44">
        <f>IF(LEN(VLOOKUP(A15,'Species List'!$A:$G,3,FALSE))=0,"",VLOOKUP(A15,'Species List'!$A:$G,3,FALSE))</f>
        <v>4</v>
      </c>
      <c r="D15" s="103">
        <f t="shared" si="1"/>
        <v>4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FAC-</v>
      </c>
      <c r="H15" s="44">
        <f>VLOOKUP(A15,'Species List'!$A:$G,7,FALSE)</f>
        <v>0</v>
      </c>
      <c r="J15" s="114">
        <v>3</v>
      </c>
      <c r="K15" s="47" t="str">
        <f>VLOOKUP(J15,'Species List'!$H$1:$J$9,2,FALSE)</f>
        <v>&gt;25-50%</v>
      </c>
      <c r="L15" s="47">
        <f>VLOOKUP(K15,'Species List'!$I$1:$N$8,2,FALSE)</f>
        <v>37.5</v>
      </c>
      <c r="M15" s="104">
        <f t="shared" si="2"/>
        <v>37.5</v>
      </c>
      <c r="N15" s="102">
        <f t="shared" si="0"/>
        <v>0.30864197530864196</v>
      </c>
      <c r="O15" s="102">
        <f t="shared" si="3"/>
        <v>1.2345679012345678</v>
      </c>
    </row>
    <row r="16" spans="1:15" x14ac:dyDescent="0.2">
      <c r="A16" s="111" t="s">
        <v>4273</v>
      </c>
      <c r="B16" s="44" t="str">
        <f>IF(LEN(VLOOKUP(A16,'Species List'!$A:$G,2,FALSE))=0,"",VLOOKUP(A16,'Species List'!$A:$G,2,FALSE))</f>
        <v>Indian grass</v>
      </c>
      <c r="C16" s="44">
        <f>IF(LEN(VLOOKUP(A16,'Species List'!$A:$G,3,FALSE))=0,"",VLOOKUP(A16,'Species List'!$A:$G,3,FALSE))</f>
        <v>5</v>
      </c>
      <c r="D16" s="103">
        <f t="shared" si="1"/>
        <v>5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FACU+</v>
      </c>
      <c r="H16" s="44">
        <f>VLOOKUP(A16,'Species List'!$A:$G,7,FALSE)</f>
        <v>0</v>
      </c>
      <c r="J16" s="114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2.4691358024691357E-2</v>
      </c>
      <c r="O16" s="102">
        <f t="shared" si="3"/>
        <v>0.12345679012345678</v>
      </c>
    </row>
    <row r="17" spans="1:15" x14ac:dyDescent="0.2">
      <c r="A17" s="111" t="s">
        <v>4035</v>
      </c>
      <c r="B17" s="44" t="str">
        <f>IF(LEN(VLOOKUP(A17,'Species List'!$A:$G,2,FALSE))=0,"",VLOOKUP(A17,'Species List'!$A:$G,2,FALSE))</f>
        <v/>
      </c>
      <c r="C17" s="44">
        <f>IF(LEN(VLOOKUP(A17,'Species List'!$A:$G,3,FALSE))=0,"",VLOOKUP(A17,'Species List'!$A:$G,3,FALSE))</f>
        <v>5</v>
      </c>
      <c r="D17" s="103">
        <f t="shared" si="1"/>
        <v>5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[FACU-]</v>
      </c>
      <c r="H17" s="44">
        <f>VLOOKUP(A17,'Species List'!$A:$G,7,FALSE)</f>
        <v>0</v>
      </c>
      <c r="J17" s="114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2.4691358024691357E-2</v>
      </c>
      <c r="O17" s="102">
        <f t="shared" si="3"/>
        <v>0.12345679012345678</v>
      </c>
    </row>
    <row r="18" spans="1:15" x14ac:dyDescent="0.2">
      <c r="A18" s="111" t="s">
        <v>5448</v>
      </c>
      <c r="B18" s="44" t="e">
        <f>IF(LEN(VLOOKUP(A18,'Species List'!$A:$G,2,FALSE))=0,"",VLOOKUP(A18,'Species List'!$A:$G,2,FALSE))</f>
        <v>#N/A</v>
      </c>
      <c r="C18" s="44">
        <v>1</v>
      </c>
      <c r="D18" s="103">
        <f t="shared" si="1"/>
        <v>1</v>
      </c>
      <c r="E18" s="44" t="e">
        <f>IF(LEN(VLOOKUP(A18,'Species List'!$A:$G,4,FALSE))=0,"",VLOOKUP(A18,'Species List'!$A:$G,4,FALSE))</f>
        <v>#N/A</v>
      </c>
      <c r="F18" s="44" t="s">
        <v>147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114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2"/>
        <v>15</v>
      </c>
      <c r="N18" s="102">
        <f t="shared" si="0"/>
        <v>0.12345679012345678</v>
      </c>
      <c r="O18" s="102">
        <f t="shared" si="3"/>
        <v>0.12345679012345678</v>
      </c>
    </row>
    <row r="19" spans="1:15" x14ac:dyDescent="0.2">
      <c r="A19" s="111" t="s">
        <v>5449</v>
      </c>
      <c r="B19" s="44" t="e">
        <f>IF(LEN(VLOOKUP(A19,'Species List'!$A:$G,2,FALSE))=0,"",VLOOKUP(A19,'Species List'!$A:$G,2,FALSE))</f>
        <v>#N/A</v>
      </c>
      <c r="C19" s="44">
        <v>3</v>
      </c>
      <c r="D19" s="103">
        <f t="shared" ref="D19:D76" si="4">VALUE(C19)</f>
        <v>3</v>
      </c>
      <c r="E19" s="44" t="e">
        <f>IF(LEN(VLOOKUP(A19,'Species List'!$A:$G,4,FALSE))=0,"",VLOOKUP(A19,'Species List'!$A:$G,4,FALSE))</f>
        <v>#N/A</v>
      </c>
      <c r="F19" s="44" t="s">
        <v>147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114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102">
        <f t="shared" si="0"/>
        <v>2.4691358024691357E-2</v>
      </c>
      <c r="O19" s="102">
        <f t="shared" si="3"/>
        <v>7.407407407407407E-2</v>
      </c>
    </row>
    <row r="20" spans="1:15" x14ac:dyDescent="0.2">
      <c r="A20" s="111" t="s">
        <v>5450</v>
      </c>
      <c r="B20" s="44" t="e">
        <f>IF(LEN(VLOOKUP(A20,'Species List'!$A:$G,2,FALSE))=0,"",VLOOKUP(A20,'Species List'!$A:$G,2,FALSE))</f>
        <v>#N/A</v>
      </c>
      <c r="C20" s="44">
        <v>3</v>
      </c>
      <c r="D20" s="103">
        <f t="shared" si="4"/>
        <v>3</v>
      </c>
      <c r="E20" s="44" t="e">
        <f>IF(LEN(VLOOKUP(A20,'Species List'!$A:$G,4,FALSE))=0,"",VLOOKUP(A20,'Species List'!$A:$G,4,FALSE))</f>
        <v>#N/A</v>
      </c>
      <c r="F20" s="44" t="s">
        <v>5452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117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2"/>
        <v>0.5</v>
      </c>
      <c r="N20" s="102">
        <f t="shared" si="0"/>
        <v>4.11522633744856E-3</v>
      </c>
      <c r="O20" s="102">
        <f t="shared" si="3"/>
        <v>1.234567901234568E-2</v>
      </c>
    </row>
    <row r="21" spans="1:15" ht="13.2" x14ac:dyDescent="0.25">
      <c r="A21" s="36" t="s">
        <v>4332</v>
      </c>
      <c r="B21" s="44" t="str">
        <f>IF(LEN(VLOOKUP(A21,'Species List'!$A:$G,2,FALSE))=0,"",VLOOKUP(A21,'Species List'!$A:$G,2,FALSE))</f>
        <v>prairie dropseed</v>
      </c>
      <c r="C21" s="44">
        <f>IF(LEN(VLOOKUP(A21,'Species List'!$A:$G,3,FALSE))=0,"",VLOOKUP(A21,'Species List'!$A:$G,3,FALSE))</f>
        <v>9</v>
      </c>
      <c r="D21" s="103">
        <f t="shared" si="4"/>
        <v>9</v>
      </c>
      <c r="E21" s="44" t="str">
        <f>IF(LEN(VLOOKUP(A21,'Species List'!$A:$G,4,FALSE))=0,"",VLOOKUP(A21,'Species List'!$A:$G,4,FALSE))</f>
        <v>G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FACU-</v>
      </c>
      <c r="H21" s="44">
        <f>VLOOKUP(A21,'Species List'!$A:$G,7,FALSE)</f>
        <v>0</v>
      </c>
      <c r="J21" s="114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102">
        <f t="shared" si="0"/>
        <v>2.4691358024691357E-2</v>
      </c>
      <c r="O21" s="102">
        <f t="shared" si="3"/>
        <v>0.22222222222222221</v>
      </c>
    </row>
    <row r="22" spans="1:15" x14ac:dyDescent="0.2">
      <c r="A22" s="111" t="s">
        <v>5451</v>
      </c>
      <c r="B22" s="44" t="e">
        <f>IF(LEN(VLOOKUP(A22,'Species List'!$A:$G,2,FALSE))=0,"",VLOOKUP(A22,'Species List'!$A:$G,2,FALSE))</f>
        <v>#N/A</v>
      </c>
      <c r="C22" s="44">
        <v>0</v>
      </c>
      <c r="D22" s="103">
        <f t="shared" si="4"/>
        <v>0</v>
      </c>
      <c r="E22" s="44" t="e">
        <f>IF(LEN(VLOOKUP(A22,'Species List'!$A:$G,4,FALSE))=0,"",VLOOKUP(A22,'Species List'!$A:$G,4,FALSE))</f>
        <v>#N/A</v>
      </c>
      <c r="F22" s="44" t="s">
        <v>5453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114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2"/>
        <v>0.5</v>
      </c>
      <c r="N22" s="102">
        <f t="shared" si="0"/>
        <v>4.11522633744856E-3</v>
      </c>
      <c r="O22" s="102">
        <f t="shared" si="3"/>
        <v>0</v>
      </c>
    </row>
    <row r="23" spans="1:15" x14ac:dyDescent="0.2">
      <c r="A23" s="111" t="s">
        <v>762</v>
      </c>
      <c r="B23" s="44" t="str">
        <f>IF(LEN(VLOOKUP(A23,'Species List'!$A:$G,2,FALSE))=0,"",VLOOKUP(A23,'Species List'!$A:$G,2,FALSE))</f>
        <v/>
      </c>
      <c r="C23" s="44">
        <f>IF(LEN(VLOOKUP(A23,'Species List'!$A:$G,3,FALSE))=0,"",VLOOKUP(A23,'Species List'!$A:$G,3,FALSE))</f>
        <v>7</v>
      </c>
      <c r="D23" s="103">
        <f t="shared" si="4"/>
        <v>7</v>
      </c>
      <c r="E23" s="44" t="str">
        <f>IF(LEN(VLOOKUP(A23,'Species List'!$A:$G,4,FALSE))=0,"",VLOOKUP(A23,'Species List'!$A:$G,4,FALSE))</f>
        <v>G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/>
      </c>
      <c r="H23" s="44">
        <f>VLOOKUP(A23,'Species List'!$A:$G,7,FALSE)</f>
        <v>0</v>
      </c>
      <c r="J23" s="114" t="s">
        <v>5420</v>
      </c>
      <c r="K23" s="47" t="str">
        <f>VLOOKUP(J23,'Species List'!$H$1:$J$9,2,FALSE)</f>
        <v>&gt;0-1%</v>
      </c>
      <c r="L23" s="47">
        <f>VLOOKUP(K23,'Species List'!$I$1:$N$8,2,FALSE)</f>
        <v>0.5</v>
      </c>
      <c r="M23" s="104">
        <f t="shared" si="2"/>
        <v>0.5</v>
      </c>
      <c r="N23" s="102">
        <f t="shared" si="0"/>
        <v>4.11522633744856E-3</v>
      </c>
      <c r="O23" s="102">
        <f t="shared" si="3"/>
        <v>2.8806584362139918E-2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0" t="s">
        <v>5387</v>
      </c>
      <c r="J151" s="141"/>
      <c r="K151" s="142"/>
      <c r="L151" s="63">
        <f>SUMIF(L10:L150,"&gt;=0")</f>
        <v>121.5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A19:A20 A22:A150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3" t="s">
        <v>4840</v>
      </c>
      <c r="B1" s="143"/>
      <c r="C1" s="143"/>
      <c r="D1" s="143"/>
      <c r="E1" s="143"/>
      <c r="F1" s="143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7">
        <f>COUNTIF(Woody!$F$10:$F$149,"Native")</f>
        <v>9</v>
      </c>
      <c r="C4" s="107">
        <f>COUNTIF(Forbs!$F$10:$F$148,"Native")</f>
        <v>20</v>
      </c>
      <c r="D4" s="107">
        <f>COUNTIF(Grasses!$F$10:$F$149,"Native")</f>
        <v>10</v>
      </c>
      <c r="E4" s="107">
        <f>AVERAGE(B4:D4)</f>
        <v>13</v>
      </c>
      <c r="F4" s="107">
        <f>SUM(B4:D4)</f>
        <v>39</v>
      </c>
    </row>
    <row r="5" spans="1:6" ht="17.399999999999999" x14ac:dyDescent="0.3">
      <c r="A5" s="53" t="s">
        <v>4845</v>
      </c>
      <c r="B5" s="107">
        <f>COUNTIF(Woody!$F10:$F199,"Introduced")</f>
        <v>2</v>
      </c>
      <c r="C5" s="107">
        <f>COUNTIF(Forbs!$F10:$F199,"Introduced")</f>
        <v>3</v>
      </c>
      <c r="D5" s="107">
        <f>COUNTIF(Grasses!$F10:$F199,"Introduced")</f>
        <v>1</v>
      </c>
      <c r="E5" s="107">
        <f t="shared" ref="E5:E6" si="0">AVERAGE(B5:D5)</f>
        <v>2</v>
      </c>
      <c r="F5" s="107">
        <f>SUM(B5:D5)</f>
        <v>6</v>
      </c>
    </row>
    <row r="6" spans="1:6" s="83" customFormat="1" ht="19.8" x14ac:dyDescent="0.4">
      <c r="A6" s="53" t="s">
        <v>5422</v>
      </c>
      <c r="B6" s="107">
        <f>SUM(B4:B5)</f>
        <v>11</v>
      </c>
      <c r="C6" s="107">
        <f>SUM(C4:C5)</f>
        <v>23</v>
      </c>
      <c r="D6" s="107">
        <f>SUM(D4:D5)</f>
        <v>11</v>
      </c>
      <c r="E6" s="107">
        <f t="shared" si="0"/>
        <v>15</v>
      </c>
      <c r="F6" s="107">
        <f>SUM(B6:D6)</f>
        <v>45</v>
      </c>
    </row>
    <row r="7" spans="1:6" ht="17.399999999999999" x14ac:dyDescent="0.3">
      <c r="A7" s="53" t="s">
        <v>4846</v>
      </c>
      <c r="B7" s="107">
        <f>AVERAGEIF(Woody!D12:D150,"&gt;0")</f>
        <v>2.7777777777777777</v>
      </c>
      <c r="C7" s="107">
        <f>AVERAGEIF(Forbs!D12:D150,"&gt;0")</f>
        <v>4.7222222222222223</v>
      </c>
      <c r="D7" s="107">
        <f>AVERAGEIF(Grasses!D12:D150,"&gt;0")</f>
        <v>4.5999999999999996</v>
      </c>
      <c r="E7" s="107">
        <f>AVERAGE(B7:D7)</f>
        <v>4.0333333333333332</v>
      </c>
      <c r="F7" s="107">
        <f>(SUMIF(Woody!D12:D150,"&gt;0")+SUMIF(Forbs!D12:D150,"&gt;0")+SUMIF(Grasses!D12:D150,"&gt;0"))/(COUNTIF(Woody!D12:D150,"&gt;0")+COUNTIF(Forbs!D12:D150,"&gt;0")+COUNTIF(Grasses!D12:D150,"&gt;0"))</f>
        <v>4.2162162162162158</v>
      </c>
    </row>
    <row r="8" spans="1:6" s="31" customFormat="1" ht="19.8" x14ac:dyDescent="0.4">
      <c r="A8" s="53" t="s">
        <v>5423</v>
      </c>
      <c r="B8" s="107">
        <f>AVERAGEIF(Woody!D12:D150,"&gt;=0")</f>
        <v>2.2727272727272729</v>
      </c>
      <c r="C8" s="107">
        <f>AVERAGEIF(Forbs!D12:D150,"&gt;=0")</f>
        <v>3.6956521739130435</v>
      </c>
      <c r="D8" s="107">
        <f>AVERAGEIF(Grasses!D12:D150,"&gt;=0")</f>
        <v>3.8333333333333335</v>
      </c>
      <c r="E8" s="107">
        <f>AVERAGE(B8:D8)</f>
        <v>3.2672375933245501</v>
      </c>
      <c r="F8" s="107">
        <f>(SUMIF(Woody!D12:D150,"&gt;=0")+SUMIF(Forbs!D12:D150,"&gt;=0")+SUMIF(Grasses!D12:D150,"&gt;=0"))/(COUNTIF(Woody!D12:D150,"&gt;=0")+COUNTIF(Forbs!D12:D150,"&gt;=0")+COUNTIF(Grasses!D12:D150,"&gt;=0"))</f>
        <v>3.3913043478260869</v>
      </c>
    </row>
    <row r="9" spans="1:6" ht="17.399999999999999" x14ac:dyDescent="0.3">
      <c r="A9" s="53" t="s">
        <v>4839</v>
      </c>
      <c r="B9" s="107">
        <f>SQRT(B4)*B7</f>
        <v>8.3333333333333321</v>
      </c>
      <c r="C9" s="107">
        <f>SQRT(C4)*C7</f>
        <v>21.118419787498016</v>
      </c>
      <c r="D9" s="107">
        <f>SQRT(D4)*D7</f>
        <v>14.546477236774544</v>
      </c>
      <c r="E9" s="107">
        <f>SQRT(E4)*E7</f>
        <v>14.542390144371423</v>
      </c>
      <c r="F9" s="107">
        <f>SQRT(F4)*F7</f>
        <v>26.330261831085135</v>
      </c>
    </row>
    <row r="10" spans="1:6" s="84" customFormat="1" ht="19.8" x14ac:dyDescent="0.4">
      <c r="A10" s="53" t="s">
        <v>5424</v>
      </c>
      <c r="B10" s="107">
        <f>SQRT(B6)*B8</f>
        <v>7.5377836144440913</v>
      </c>
      <c r="C10" s="107">
        <f>SQRT(C6)*C8</f>
        <v>17.723725194851355</v>
      </c>
      <c r="D10" s="107">
        <f>SQRT(D6)*D8</f>
        <v>12.713728363029032</v>
      </c>
      <c r="E10" s="107">
        <f>SQRT(E6)*E8</f>
        <v>12.653956787048784</v>
      </c>
      <c r="F10" s="107">
        <f>SQRT(F6)*F8</f>
        <v>22.749561162389167</v>
      </c>
    </row>
    <row r="11" spans="1:6" ht="17.399999999999999" x14ac:dyDescent="0.3">
      <c r="A11" s="53" t="s">
        <v>4847</v>
      </c>
      <c r="B11" s="107">
        <f>SUMIF(Woody!$M$10:$M$150,"&gt;=0")</f>
        <v>41</v>
      </c>
      <c r="C11" s="107">
        <f>SUMIF(Forbs!$M$10:$M$151,"&gt;=0")</f>
        <v>54</v>
      </c>
      <c r="D11" s="107">
        <f>SUMIF(Grasses!$M$10:$M$150,"&gt;=0")</f>
        <v>121.5</v>
      </c>
      <c r="E11" s="107">
        <f>AVERAGE(B11:D11)</f>
        <v>72.166666666666671</v>
      </c>
      <c r="F11" s="107">
        <f>SUM(B11:D11)</f>
        <v>216.5</v>
      </c>
    </row>
    <row r="12" spans="1:6" ht="17.399999999999999" x14ac:dyDescent="0.3">
      <c r="A12" s="53" t="s">
        <v>5388</v>
      </c>
      <c r="B12" s="107">
        <f>SUMIF(Woody!$F$10:$F$150,"Introduced",Woody!$L$10:$L$150)</f>
        <v>30</v>
      </c>
      <c r="C12" s="107">
        <f>SUMIF(Forbs!$F$10:$F$151,"Introduced",Forbs!$L$10:$L$151)</f>
        <v>6.5</v>
      </c>
      <c r="D12" s="107">
        <f>SUMIF(Grasses!$F$10:$F$150,"Introduced",Grasses!$L$10:$L$150)</f>
        <v>15</v>
      </c>
      <c r="E12" s="107">
        <f>AVERAGE(B12:D12)</f>
        <v>17.166666666666668</v>
      </c>
      <c r="F12" s="107">
        <f>SUM(B12:D12)</f>
        <v>51.5</v>
      </c>
    </row>
    <row r="13" spans="1:6" ht="18" thickBot="1" x14ac:dyDescent="0.35">
      <c r="A13" s="54" t="s">
        <v>4848</v>
      </c>
      <c r="B13" s="108">
        <f>B12/B11</f>
        <v>0.73170731707317072</v>
      </c>
      <c r="C13" s="108">
        <f>C12/C11</f>
        <v>0.12037037037037036</v>
      </c>
      <c r="D13" s="108">
        <f>D12/D11</f>
        <v>0.12345679012345678</v>
      </c>
      <c r="E13" s="108">
        <f>E12/E11</f>
        <v>0.23787528868360278</v>
      </c>
      <c r="F13" s="108">
        <f>F12/F11</f>
        <v>0.23787528868360278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6">
        <f>SUMIF(Woody!$O$10:$O$150,"&gt;=0")</f>
        <v>0.74390243902439024</v>
      </c>
      <c r="C15" s="106">
        <f>SUMIF(Forbs!$O$10:$O$150,"&gt;=0")</f>
        <v>3.75</v>
      </c>
      <c r="D15" s="106">
        <f>SUMIF(Grasses!$O$10:$O$150,"&gt;=0")</f>
        <v>3.8683127572016462</v>
      </c>
      <c r="E15" s="106">
        <f>AVERAGE(B15:D15)</f>
        <v>2.7874050654086791</v>
      </c>
      <c r="F15" s="107">
        <f>SUM(B15:D15)</f>
        <v>8.3622151962260372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2022-02-03T19:53:33Z</dcterms:modified>
</cp:coreProperties>
</file>