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4ED62079-D169-45CB-896F-2EA355D258A2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E19" i="10"/>
  <c r="F19" i="10"/>
  <c r="F17" i="10"/>
  <c r="E17" i="10"/>
  <c r="C19" i="10"/>
  <c r="C17" i="10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1" i="6" l="1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F14" i="9" l="1"/>
  <c r="F15" i="9"/>
  <c r="F16" i="9"/>
  <c r="F18" i="9"/>
  <c r="C13" i="9"/>
  <c r="C14" i="9"/>
  <c r="C15" i="9"/>
  <c r="C16" i="9"/>
  <c r="C18" i="9"/>
  <c r="B12" i="9" l="1"/>
  <c r="D16" i="9"/>
  <c r="C15" i="6" l="1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8" i="9"/>
  <c r="C28" i="9"/>
  <c r="D28" i="9" s="1"/>
  <c r="E28" i="9"/>
  <c r="F28" i="9"/>
  <c r="G28" i="9"/>
  <c r="H28" i="9"/>
  <c r="K28" i="9"/>
  <c r="L28" i="9" s="1"/>
  <c r="M28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3" i="9"/>
  <c r="O23" i="9" s="1"/>
  <c r="N13" i="9"/>
  <c r="O13" i="9" s="1"/>
  <c r="N22" i="9"/>
  <c r="O22" i="9" s="1"/>
  <c r="N17" i="9"/>
  <c r="O17" i="9" s="1"/>
  <c r="N24" i="9"/>
  <c r="O24" i="9" s="1"/>
  <c r="N16" i="9"/>
  <c r="O16" i="9" s="1"/>
  <c r="N15" i="9"/>
  <c r="O15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5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<sst xmlns="http://schemas.openxmlformats.org/spreadsheetml/2006/main" count="13302" uniqueCount="5528">
  <si>
    <t>a</t>
    <phoneticPr fontId="12" type="noConversion"/>
  </si>
  <si>
    <t>b</t>
    <phoneticPr fontId="12" type="noConversion"/>
  </si>
  <si>
    <t>C</t>
    <phoneticPr fontId="12" type="noConversion"/>
  </si>
  <si>
    <t>E</t>
    <phoneticPr fontId="12" type="noConversion"/>
  </si>
  <si>
    <t>0.5-2m</t>
    <phoneticPr fontId="12" type="noConversion"/>
  </si>
  <si>
    <t>0.1-0.5m</t>
    <phoneticPr fontId="12" type="noConversion"/>
  </si>
  <si>
    <t>0-0.1m</t>
    <phoneticPr fontId="12" type="noConversion"/>
  </si>
  <si>
    <t>small colonies, broken mat</t>
    <phoneticPr fontId="12" type="noConversion"/>
  </si>
  <si>
    <t>large group, many plants</t>
    <phoneticPr fontId="12" type="noConversion"/>
  </si>
  <si>
    <t>small dense clumps</t>
    <phoneticPr fontId="12" type="noConversion"/>
  </si>
  <si>
    <t>growing singly</t>
    <phoneticPr fontId="12" type="noConversion"/>
  </si>
  <si>
    <t>Thatch:</t>
    <phoneticPr fontId="12" type="noConversion"/>
  </si>
  <si>
    <t>c</t>
    <phoneticPr fontId="12" type="noConversion"/>
  </si>
  <si>
    <t>i</t>
    <phoneticPr fontId="12" type="noConversion"/>
  </si>
  <si>
    <t>p</t>
    <phoneticPr fontId="12" type="noConversion"/>
  </si>
  <si>
    <t>r</t>
    <phoneticPr fontId="12" type="noConversion"/>
  </si>
  <si>
    <t>50-75%</t>
    <phoneticPr fontId="12" type="noConversion"/>
  </si>
  <si>
    <t>25-50%</t>
    <phoneticPr fontId="12" type="noConversion"/>
  </si>
  <si>
    <t>5-25%</t>
    <phoneticPr fontId="12" type="noConversion"/>
  </si>
  <si>
    <t>1-5%</t>
    <phoneticPr fontId="12" type="noConversion"/>
  </si>
  <si>
    <t>Extensive mat</t>
    <phoneticPr fontId="12" type="noConversion"/>
  </si>
  <si>
    <t>Abundance</t>
    <phoneticPr fontId="12" type="noConversion"/>
  </si>
  <si>
    <t>Group</t>
    <phoneticPr fontId="12" type="noConversion"/>
  </si>
  <si>
    <t>B</t>
    <phoneticPr fontId="12" type="noConversion"/>
  </si>
  <si>
    <t>D</t>
    <phoneticPr fontId="12" type="noConversion"/>
  </si>
  <si>
    <t>G</t>
    <phoneticPr fontId="12" type="noConversion"/>
  </si>
  <si>
    <t>H</t>
    <phoneticPr fontId="12" type="noConversion"/>
  </si>
  <si>
    <t>L</t>
    <phoneticPr fontId="12" type="noConversion"/>
  </si>
  <si>
    <t>K</t>
    <phoneticPr fontId="12" type="noConversion"/>
  </si>
  <si>
    <t>X</t>
    <phoneticPr fontId="12" type="noConversion"/>
  </si>
  <si>
    <t>Broadleaf evergreen</t>
    <phoneticPr fontId="12" type="noConversion"/>
  </si>
  <si>
    <t>Broadleaf deciduous</t>
    <phoneticPr fontId="12" type="noConversion"/>
  </si>
  <si>
    <t>Needleleaf evergreen</t>
    <phoneticPr fontId="12" type="noConversion"/>
  </si>
  <si>
    <t>Graminoids</t>
    <phoneticPr fontId="12" type="noConversion"/>
  </si>
  <si>
    <t>Forbs</t>
    <phoneticPr fontId="12" type="noConversion"/>
  </si>
  <si>
    <t>Lichens &amp; mosses</t>
    <phoneticPr fontId="12" type="noConversion"/>
  </si>
  <si>
    <t>Climbers</t>
    <phoneticPr fontId="12" type="noConversion"/>
  </si>
  <si>
    <t>Stem succulents</t>
    <phoneticPr fontId="12" type="noConversion"/>
  </si>
  <si>
    <t>Epiphytes</t>
    <phoneticPr fontId="12" type="noConversion"/>
  </si>
  <si>
    <t xml:space="preserve"> +</t>
    <phoneticPr fontId="12" type="noConversion"/>
  </si>
  <si>
    <t>&lt;5% cover, many individuals</t>
    <phoneticPr fontId="12" type="noConversion"/>
  </si>
  <si>
    <t>&lt;5% cover, few (2-20) individuals</t>
    <phoneticPr fontId="12" type="noConversion"/>
  </si>
  <si>
    <t>&lt;5% cover, single</t>
    <phoneticPr fontId="12" type="noConversion"/>
  </si>
  <si>
    <t>Life Form</t>
    <phoneticPr fontId="12" type="noConversion"/>
  </si>
  <si>
    <t>Height</t>
    <phoneticPr fontId="12" type="noConversion"/>
  </si>
  <si>
    <t>Sociability</t>
    <phoneticPr fontId="12" type="noConversion"/>
  </si>
  <si>
    <t>&gt;35m</t>
    <phoneticPr fontId="12" type="noConversion"/>
  </si>
  <si>
    <t>20-35m</t>
    <phoneticPr fontId="12" type="noConversion"/>
  </si>
  <si>
    <t>10-20m</t>
    <phoneticPr fontId="12" type="noConversion"/>
  </si>
  <si>
    <t>5-10m</t>
    <phoneticPr fontId="12" type="noConversion"/>
  </si>
  <si>
    <t>2-5m</t>
    <phoneticPr fontId="12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</si>
  <si>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</si>
  <si>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</si>
  <si>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</si>
  <si>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</si>
  <si>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</si>
  <si>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</si>
  <si>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</si>
  <si>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</si>
  <si>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</si>
  <si>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</si>
  <si>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</si>
  <si>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</si>
  <si>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</si>
  <si>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</si>
  <si>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</si>
  <si>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</si>
  <si>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</si>
  <si>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</si>
  <si>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</si>
  <si>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</si>
  <si>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</si>
  <si>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</si>
  <si>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</si>
  <si>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</si>
  <si>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</si>
  <si>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</si>
  <si>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</si>
  <si>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</si>
  <si>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</si>
  <si>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</si>
  <si>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</si>
  <si>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</si>
  <si>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</si>
  <si>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</si>
  <si>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</si>
  <si>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</si>
  <si>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</si>
  <si>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</si>
  <si>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</si>
  <si>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</si>
  <si>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</si>
  <si>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</si>
  <si>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</si>
  <si>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</si>
  <si>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</si>
  <si>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</si>
  <si>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</si>
  <si>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</si>
  <si>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</si>
  <si>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</si>
  <si>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</si>
  <si>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</si>
  <si>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</si>
  <si>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</si>
  <si>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</si>
  <si>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</si>
  <si>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</si>
  <si>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</si>
  <si>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</si>
  <si>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</si>
  <si>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</si>
  <si>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</si>
  <si>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</si>
  <si>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</si>
  <si>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</si>
  <si>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</si>
  <si>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</si>
  <si>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</si>
  <si>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</si>
  <si>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</si>
  <si>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</si>
  <si>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</si>
  <si>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</si>
  <si>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</si>
  <si>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</si>
  <si>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</si>
  <si>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</si>
  <si>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</si>
  <si>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</si>
  <si>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</si>
  <si>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</si>
  <si>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</si>
  <si>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</si>
  <si>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</si>
  <si>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</si>
  <si>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</si>
  <si>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</si>
  <si>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</si>
  <si>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</si>
  <si>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</si>
  <si>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</si>
  <si>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</si>
  <si>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</si>
  <si>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</si>
  <si>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</si>
  <si>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</si>
  <si>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</si>
  <si>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</si>
  <si>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</si>
  <si>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</si>
  <si>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</si>
  <si>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</si>
  <si>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</si>
  <si>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</si>
  <si>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</si>
  <si>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</si>
  <si>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</si>
  <si>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</si>
  <si>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</si>
  <si>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</si>
  <si>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</si>
  <si>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</si>
  <si>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</si>
  <si>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</si>
  <si>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</si>
  <si>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</si>
  <si>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</si>
  <si>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</si>
  <si>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</si>
  <si>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</si>
  <si>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</si>
  <si>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</si>
  <si>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</si>
  <si>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</si>
  <si>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</si>
  <si>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</si>
  <si>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</si>
  <si>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</si>
  <si>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</si>
  <si>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</si>
  <si>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</si>
  <si>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</si>
  <si>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</si>
  <si>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</si>
  <si>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</si>
  <si>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</si>
  <si>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</si>
  <si>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</si>
  <si>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</si>
  <si>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</si>
  <si>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</si>
  <si>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</si>
  <si>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</si>
  <si>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</si>
  <si>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</si>
  <si>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</si>
  <si>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</si>
  <si>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</si>
  <si>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</si>
  <si>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</si>
  <si>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</si>
  <si>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</si>
  <si>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</si>
  <si>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</si>
  <si>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</si>
  <si>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</si>
  <si>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</si>
  <si>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</si>
  <si>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</si>
  <si>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</si>
  <si>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</si>
  <si>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</si>
  <si>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</si>
  <si>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</si>
  <si>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</si>
  <si>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</si>
  <si>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</si>
  <si>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</si>
  <si>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</si>
  <si>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</si>
  <si>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</si>
  <si>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</si>
  <si>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</si>
  <si>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</si>
  <si>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</si>
  <si>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</si>
  <si>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</si>
  <si>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</si>
  <si>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</si>
  <si>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</si>
  <si>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</si>
  <si>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</si>
  <si>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</si>
  <si>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</si>
  <si>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</si>
  <si>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</si>
  <si>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</si>
  <si>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</si>
  <si>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</si>
  <si>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</si>
  <si>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</si>
  <si>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</si>
  <si>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</si>
  <si>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</si>
  <si>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</si>
  <si>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</si>
  <si>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</si>
  <si>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</si>
  <si>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</si>
  <si>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</si>
  <si>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</si>
  <si>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</si>
  <si>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</si>
  <si>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</si>
  <si>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</si>
  <si>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</si>
  <si>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</si>
  <si>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</si>
  <si>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</si>
  <si>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</si>
  <si>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</si>
  <si>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</si>
  <si>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</si>
  <si>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</si>
  <si>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</si>
  <si>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</si>
  <si>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</si>
  <si>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</si>
  <si>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</si>
  <si>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</si>
  <si>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</si>
  <si>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</si>
  <si>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</si>
  <si>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</si>
  <si>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</si>
  <si>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</si>
  <si>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</si>
  <si>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</si>
  <si>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</si>
  <si>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</si>
  <si>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</si>
  <si>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</si>
  <si>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</si>
  <si>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</si>
  <si>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</si>
  <si>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</si>
  <si>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</si>
  <si>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</si>
  <si>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</si>
  <si>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</si>
  <si>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</si>
  <si>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</si>
  <si>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</si>
  <si>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</si>
  <si>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</si>
  <si>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</si>
  <si>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</si>
  <si>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</si>
  <si>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</si>
  <si>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</si>
  <si>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</si>
  <si>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</si>
  <si>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</si>
  <si>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</si>
  <si>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</si>
  <si>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</si>
  <si>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</si>
  <si>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</si>
  <si>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</si>
  <si>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</si>
  <si>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</si>
  <si>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</si>
  <si>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</si>
  <si>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</si>
  <si>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</si>
  <si>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</si>
  <si>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</si>
  <si>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</si>
  <si>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</si>
  <si>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</si>
  <si>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</si>
  <si>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</si>
  <si>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</si>
  <si>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</si>
  <si>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</si>
  <si>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</si>
  <si>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</si>
  <si>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</si>
  <si>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</si>
  <si>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</si>
  <si>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</si>
  <si>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</si>
  <si>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</si>
  <si>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</si>
  <si>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</si>
  <si>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</si>
  <si>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</si>
  <si>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</si>
  <si>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</si>
  <si>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</si>
  <si>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</si>
  <si>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</si>
  <si>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</si>
  <si>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</si>
  <si>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</si>
  <si>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</si>
  <si>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</si>
  <si>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</si>
  <si>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</si>
  <si>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</si>
  <si>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</si>
  <si>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</si>
  <si>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</si>
  <si>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</si>
  <si>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</si>
  <si>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</si>
  <si>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</si>
  <si>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</si>
  <si>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</si>
  <si>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</si>
  <si>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</si>
  <si>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</si>
  <si>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</si>
  <si>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</si>
  <si>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</si>
  <si>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</si>
  <si>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</si>
  <si>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</si>
  <si>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</si>
  <si>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</si>
  <si>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</si>
  <si>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</si>
  <si>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</si>
  <si>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</si>
  <si>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</si>
  <si>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</si>
  <si>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</si>
  <si>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</si>
  <si>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</si>
  <si>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</si>
  <si>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</si>
  <si>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</si>
  <si>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</si>
  <si>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</si>
  <si>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</si>
  <si>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</si>
  <si>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</si>
  <si>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</si>
  <si>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</si>
  <si>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</si>
  <si>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</si>
  <si>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</si>
  <si>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</si>
  <si>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</si>
  <si>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</si>
  <si>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</si>
  <si>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</si>
  <si>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</si>
  <si>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</si>
  <si>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</si>
  <si>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</si>
  <si>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</si>
  <si>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</si>
  <si>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</si>
  <si>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</si>
  <si>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</si>
  <si>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</si>
  <si>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</si>
  <si>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</si>
  <si>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</si>
  <si>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</si>
  <si>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</si>
  <si>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</si>
  <si>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</si>
  <si>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</si>
  <si>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</si>
  <si>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</si>
  <si>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</si>
  <si>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</si>
  <si>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</si>
  <si>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</si>
  <si>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</si>
  <si>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</si>
  <si>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</si>
  <si>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</si>
  <si>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</si>
  <si>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</si>
  <si>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</si>
  <si>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</si>
  <si>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</si>
  <si>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</si>
  <si>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</si>
  <si>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</si>
  <si>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</si>
  <si>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</si>
  <si>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</si>
  <si>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</si>
  <si>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</si>
  <si>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</si>
  <si>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</si>
  <si>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</si>
  <si>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</si>
  <si>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</si>
  <si>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</si>
  <si>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</si>
  <si>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</si>
  <si>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</si>
  <si>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</si>
  <si>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</si>
  <si>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</si>
  <si>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</si>
  <si>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</si>
  <si>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</si>
  <si>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</si>
  <si>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</si>
  <si>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</si>
  <si>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</si>
  <si>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</si>
  <si>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</si>
  <si>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</si>
  <si>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</si>
  <si>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</si>
  <si>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</si>
  <si>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</si>
  <si>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</si>
  <si>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</si>
  <si>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</si>
  <si>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</si>
  <si>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</si>
  <si>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</si>
  <si>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</si>
  <si>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</si>
  <si>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</si>
  <si>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</si>
  <si>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</si>
  <si>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</si>
  <si>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</si>
  <si>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</si>
  <si>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</si>
  <si>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</si>
  <si>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</si>
  <si>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</si>
  <si>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</si>
  <si>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</si>
  <si>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</si>
  <si>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</si>
  <si>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</si>
  <si>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</si>
  <si>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</si>
  <si>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</si>
  <si>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</si>
  <si>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</si>
  <si>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</si>
  <si>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</si>
  <si>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</si>
  <si>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</si>
  <si>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</si>
  <si>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</si>
  <si>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</si>
  <si>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</si>
  <si>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</si>
  <si>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</si>
  <si>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</si>
  <si>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</si>
  <si>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</si>
  <si>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</si>
  <si>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</si>
  <si>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</si>
  <si>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</si>
  <si>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</si>
  <si>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</si>
  <si>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</si>
  <si>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</si>
  <si>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</si>
  <si>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</si>
  <si>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</si>
  <si>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</si>
  <si>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</si>
  <si>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</si>
  <si>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</si>
  <si>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</si>
  <si>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</si>
  <si>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</si>
  <si>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</si>
  <si>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</si>
  <si>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</si>
  <si>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</si>
  <si>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</si>
  <si>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</si>
  <si>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</si>
  <si>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</si>
  <si>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</si>
  <si>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</si>
  <si>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</si>
  <si>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</si>
  <si>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</si>
  <si>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</si>
  <si>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</si>
  <si>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</si>
  <si>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</si>
  <si>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</si>
  <si>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</si>
  <si>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</si>
  <si>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</si>
  <si>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</si>
  <si>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</si>
  <si>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</si>
  <si>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</si>
  <si>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</si>
  <si>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</si>
  <si>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</si>
  <si>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</si>
  <si>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</si>
  <si>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</si>
  <si>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</si>
  <si>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</si>
  <si>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</si>
  <si>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</si>
  <si>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</si>
  <si>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</si>
  <si>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</si>
  <si>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</si>
  <si>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</si>
  <si>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</si>
  <si>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</si>
  <si>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</si>
  <si>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</si>
  <si>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</si>
  <si>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</si>
  <si>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</si>
  <si>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</si>
  <si>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</si>
  <si>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</si>
  <si>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</si>
  <si>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</si>
  <si>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</si>
  <si>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</si>
  <si>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</si>
  <si>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</si>
  <si>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</si>
  <si>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</si>
  <si>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</si>
  <si>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</si>
  <si>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</si>
  <si>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</si>
  <si>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</si>
  <si>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</si>
  <si>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</si>
  <si>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</si>
  <si>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</si>
  <si>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</si>
  <si>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</si>
  <si>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</si>
  <si>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</si>
  <si>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</si>
  <si>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</si>
  <si>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</si>
  <si>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</si>
  <si>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</si>
  <si>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</si>
  <si>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</si>
  <si>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</si>
  <si>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</si>
  <si>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</si>
  <si>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</si>
  <si>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</si>
  <si>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</si>
  <si>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</si>
  <si>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</si>
  <si>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</si>
  <si>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</si>
  <si>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</si>
  <si>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</si>
  <si>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</si>
  <si>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</si>
  <si>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</si>
  <si>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</si>
  <si>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</si>
  <si>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</si>
  <si>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</si>
  <si>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</si>
  <si>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</si>
  <si>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</si>
  <si>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</si>
  <si>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</si>
  <si>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</si>
  <si>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</si>
  <si>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</si>
  <si>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</si>
  <si>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</si>
  <si>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</si>
  <si>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</si>
  <si>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</si>
  <si>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</si>
  <si>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</si>
  <si>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</si>
  <si>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</si>
  <si>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</si>
  <si>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</si>
  <si>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</si>
  <si>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</si>
  <si>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</si>
  <si>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</si>
  <si>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</si>
  <si>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</si>
  <si>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</si>
  <si>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</si>
  <si>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</si>
  <si>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</si>
  <si>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</si>
  <si>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</si>
  <si>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</si>
  <si>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</si>
  <si>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</si>
  <si>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</si>
  <si>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</si>
  <si>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</si>
  <si>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</si>
  <si>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</si>
  <si>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</si>
  <si>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</si>
  <si>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</si>
  <si>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</si>
  <si>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</si>
  <si>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</si>
  <si>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</si>
  <si>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</si>
  <si>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</si>
  <si>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</si>
  <si>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</si>
  <si>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</si>
  <si>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</si>
  <si>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</si>
  <si>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</si>
  <si>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</si>
  <si>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</si>
  <si>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</si>
  <si>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</si>
  <si>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</si>
  <si>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</si>
  <si>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</si>
  <si>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</si>
  <si>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</si>
  <si>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</si>
  <si>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</si>
  <si>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</si>
  <si>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</si>
  <si>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</si>
  <si>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</si>
  <si>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</si>
  <si>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</si>
  <si>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</si>
  <si>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</si>
  <si>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</si>
  <si>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</si>
  <si>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</si>
  <si>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</si>
  <si>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</si>
  <si>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</si>
  <si>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</si>
  <si>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</si>
  <si>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</si>
  <si>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</si>
  <si>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</si>
  <si>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</si>
  <si>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</si>
  <si>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</si>
  <si>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</si>
  <si>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</si>
  <si>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</si>
  <si>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</si>
  <si>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</si>
  <si>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</si>
  <si>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</si>
  <si>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</si>
  <si>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</si>
  <si>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</si>
  <si>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</si>
  <si>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</si>
  <si>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</si>
  <si>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</si>
  <si>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</si>
  <si>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</si>
  <si>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</si>
  <si>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</si>
  <si>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</si>
  <si>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</si>
  <si>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</si>
  <si>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</si>
  <si>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</si>
  <si>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</si>
  <si>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</si>
  <si>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</si>
  <si>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</si>
  <si>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</si>
  <si>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</si>
  <si>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</si>
  <si>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</si>
  <si>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</si>
  <si>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</si>
  <si>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</si>
  <si>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</si>
  <si>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</si>
  <si>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</si>
  <si>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</si>
  <si>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</si>
  <si>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</si>
  <si>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</si>
  <si>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</si>
  <si>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</si>
  <si>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</si>
  <si>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</si>
  <si>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</si>
  <si>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</si>
  <si>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</si>
  <si>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</si>
  <si>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</si>
  <si>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</si>
  <si>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</si>
  <si>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</si>
  <si>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</si>
  <si>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</si>
  <si>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</si>
  <si>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</si>
  <si>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</si>
  <si>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</si>
  <si>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</si>
  <si>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</si>
  <si>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</si>
  <si>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</si>
  <si>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</si>
  <si>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</si>
  <si>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</si>
  <si>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</si>
  <si>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</si>
  <si>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</si>
  <si>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</si>
  <si>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</si>
  <si>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</si>
  <si>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</si>
  <si>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</si>
  <si>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</si>
  <si>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</si>
  <si>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</si>
  <si>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</si>
  <si>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</si>
  <si>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</si>
  <si>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</si>
  <si>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</si>
  <si>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</si>
  <si>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</si>
  <si>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</si>
  <si>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</si>
  <si>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</si>
  <si>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</si>
  <si>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</si>
  <si>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</si>
  <si>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</si>
  <si>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</si>
  <si>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</si>
  <si>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</si>
  <si>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</si>
  <si>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</si>
  <si>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</si>
  <si>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</si>
  <si>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</si>
  <si>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</si>
  <si>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</si>
  <si>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</si>
  <si>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</si>
  <si>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</si>
  <si>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</si>
  <si>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</si>
  <si>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</si>
  <si>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</si>
  <si>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</si>
  <si>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</si>
  <si>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</si>
  <si>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</si>
  <si>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</si>
  <si>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</si>
  <si>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</si>
  <si>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</si>
  <si>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</si>
  <si>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</si>
  <si>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</si>
  <si>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</si>
  <si>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</si>
  <si>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</si>
  <si>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</si>
  <si>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</si>
  <si>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</si>
  <si>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</si>
  <si>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</si>
  <si>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</si>
  <si>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</si>
  <si>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</si>
  <si>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</si>
  <si>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</si>
  <si>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</si>
  <si>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</si>
  <si>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</si>
  <si>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</si>
  <si>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</si>
  <si>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</si>
  <si>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</si>
  <si>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</si>
  <si>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</si>
  <si>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</si>
  <si>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</si>
  <si>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</si>
  <si>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</si>
  <si>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</si>
  <si>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</si>
  <si>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</si>
  <si>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</si>
  <si>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</si>
  <si>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</si>
  <si>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</si>
  <si>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</si>
  <si>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</si>
  <si>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</si>
  <si>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</si>
  <si>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</si>
  <si>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</si>
  <si>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</si>
  <si>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</si>
  <si>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</si>
  <si>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</si>
  <si>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</si>
  <si>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</si>
  <si>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</si>
  <si>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</si>
  <si>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</si>
  <si>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</si>
  <si>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</si>
  <si>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</si>
  <si>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</si>
  <si>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</si>
  <si>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</si>
  <si>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</si>
  <si>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</si>
  <si>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</si>
  <si>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</si>
  <si>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</si>
  <si>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</si>
  <si>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</si>
  <si>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</si>
  <si>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</si>
  <si>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</si>
  <si>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</si>
  <si>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</si>
  <si>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</si>
  <si>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</si>
  <si>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</si>
  <si>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</si>
  <si>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</si>
  <si>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</si>
  <si>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</si>
  <si>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</si>
  <si>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</si>
  <si>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</si>
  <si>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</si>
  <si>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</si>
  <si>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</si>
  <si>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</si>
  <si>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</si>
  <si>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</si>
  <si>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</si>
  <si>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</si>
  <si>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</si>
  <si>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</si>
  <si>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</si>
  <si>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</si>
  <si>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</si>
  <si>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</si>
  <si>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</si>
  <si>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</si>
  <si>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</si>
  <si>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</si>
  <si>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</si>
  <si>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</si>
  <si>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</si>
  <si>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</si>
  <si>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</si>
  <si>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</si>
  <si>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</si>
  <si>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</si>
  <si>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</si>
  <si>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</si>
  <si>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</si>
  <si>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</si>
  <si>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</si>
  <si>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</si>
  <si>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</si>
  <si>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</si>
  <si>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</si>
  <si>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</si>
  <si>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</si>
  <si>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</si>
  <si>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</si>
  <si>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</si>
  <si>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</si>
  <si>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</si>
  <si>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</si>
  <si>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</si>
  <si>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</si>
  <si>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</si>
  <si>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</si>
  <si>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</si>
  <si>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</si>
  <si>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</si>
  <si>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</si>
  <si>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</si>
  <si>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</si>
  <si>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</si>
  <si>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</si>
  <si>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</si>
  <si>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</si>
  <si>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</si>
  <si>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</si>
  <si>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</si>
  <si>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</si>
  <si>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</si>
  <si>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</si>
  <si>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</si>
  <si>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</si>
  <si>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</si>
  <si>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</si>
  <si>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</si>
  <si>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</si>
  <si>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</si>
  <si>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</si>
  <si>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</si>
  <si>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</si>
  <si>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</si>
  <si>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</si>
  <si>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</si>
  <si>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</si>
  <si>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</si>
  <si>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</si>
  <si>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</si>
  <si>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</si>
  <si>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</si>
  <si>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</si>
  <si>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</si>
  <si>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</si>
  <si>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</si>
  <si>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</si>
  <si>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</si>
  <si>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</si>
  <si>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</si>
  <si>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</si>
  <si>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</si>
  <si>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</si>
  <si>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</si>
  <si>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</si>
  <si>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</si>
  <si>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</si>
  <si>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</si>
  <si>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</si>
  <si>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</si>
  <si>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</si>
  <si>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</si>
  <si>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</si>
  <si>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</si>
  <si>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</si>
  <si>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</si>
  <si>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</si>
  <si>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</si>
  <si>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</si>
  <si>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</si>
  <si>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</si>
  <si>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</si>
  <si>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</si>
  <si>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</si>
  <si>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</si>
  <si>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</si>
  <si>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</si>
  <si>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</si>
  <si>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</si>
  <si>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</si>
  <si>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</si>
  <si>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</si>
  <si>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</si>
  <si>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</si>
  <si>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</si>
  <si>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</si>
  <si>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</si>
  <si>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</si>
  <si>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</si>
  <si>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</si>
  <si>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</si>
  <si>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</si>
  <si>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</si>
  <si>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</si>
  <si>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</si>
  <si>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</si>
  <si>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</si>
  <si>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</si>
  <si>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</si>
  <si>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</si>
  <si>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</si>
  <si>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</si>
  <si>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</si>
  <si>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</si>
  <si>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</si>
  <si>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</si>
  <si>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</si>
  <si>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</si>
  <si>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</si>
  <si>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</si>
  <si>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</si>
  <si>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</si>
  <si>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</si>
  <si>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</si>
  <si>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</si>
  <si>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</si>
  <si>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</si>
  <si>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</si>
  <si>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</si>
  <si>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</si>
  <si>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</si>
  <si>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</si>
  <si>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</si>
  <si>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</si>
  <si>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</si>
  <si>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</si>
  <si>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</si>
  <si>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</si>
  <si>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</si>
  <si>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</si>
  <si>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</si>
  <si>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</si>
  <si>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</si>
  <si>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</si>
  <si>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</si>
  <si>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</si>
  <si>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</si>
  <si>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</si>
  <si>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</si>
  <si>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</si>
  <si>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</si>
  <si>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</si>
  <si>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</si>
  <si>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</si>
  <si>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</si>
  <si>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</si>
  <si>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</si>
  <si>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</si>
  <si>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</si>
  <si>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</si>
  <si>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</si>
  <si>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</si>
  <si>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</si>
  <si>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</si>
  <si>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</si>
  <si>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</si>
  <si>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</si>
  <si>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</si>
  <si>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</si>
  <si>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</si>
  <si>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</si>
  <si>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</si>
  <si>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</si>
  <si>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</si>
  <si>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</si>
  <si>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</si>
  <si>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</si>
  <si>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</si>
  <si>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</si>
  <si>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</si>
  <si>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</si>
  <si>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</si>
  <si>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</si>
  <si>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</si>
  <si>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</si>
  <si>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</si>
  <si>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</si>
  <si>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</si>
  <si>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</si>
  <si>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</si>
  <si>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</si>
  <si>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</si>
  <si>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</si>
  <si>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</si>
  <si>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</si>
  <si>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</si>
  <si>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</si>
  <si>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</si>
  <si>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</si>
  <si>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</si>
  <si>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</si>
  <si>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</si>
  <si>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</si>
  <si>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</si>
  <si>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</si>
  <si>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</si>
  <si>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</si>
  <si>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</si>
  <si>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</si>
  <si>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</si>
  <si>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</si>
  <si>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</si>
  <si>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</si>
  <si>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</si>
  <si>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</si>
  <si>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</si>
  <si>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</si>
  <si>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</si>
  <si>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</si>
  <si>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</si>
  <si>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</si>
  <si>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</si>
  <si>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</si>
  <si>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</si>
  <si>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</si>
  <si>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</si>
  <si>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</si>
  <si>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</si>
  <si>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</si>
  <si>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</si>
  <si>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</si>
  <si>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</si>
  <si>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</si>
  <si>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</si>
  <si>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</si>
  <si>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</si>
  <si>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</si>
  <si>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</si>
  <si>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</si>
  <si>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</si>
  <si>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</si>
  <si>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</si>
  <si>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</si>
  <si>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</si>
  <si>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</si>
  <si>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</si>
  <si>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</si>
  <si>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</si>
  <si>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</si>
  <si>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</si>
  <si>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</si>
  <si>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</si>
  <si>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</si>
  <si>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</si>
  <si>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</si>
  <si>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</si>
  <si>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</si>
  <si>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</si>
  <si>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</si>
  <si>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</si>
  <si>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</si>
  <si>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</si>
  <si>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</si>
  <si>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</si>
  <si>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</si>
  <si>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</si>
  <si>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</si>
  <si>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</si>
  <si>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</si>
  <si>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</si>
  <si>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</si>
  <si>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</si>
  <si>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</si>
  <si>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</si>
  <si>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</si>
  <si>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</si>
  <si>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</si>
  <si>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</si>
  <si>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</si>
  <si>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</si>
  <si>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</si>
  <si>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</si>
  <si>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</si>
  <si>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</si>
  <si>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</si>
  <si>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</si>
  <si>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</si>
  <si>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</si>
  <si>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</si>
  <si>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</si>
  <si>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</si>
  <si>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</si>
  <si>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</si>
  <si>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</si>
  <si>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</si>
  <si>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</si>
  <si>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</si>
  <si>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</si>
  <si>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</si>
  <si>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</si>
  <si>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</si>
  <si>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</si>
  <si>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</si>
  <si>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</si>
  <si>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</si>
  <si>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</si>
  <si>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</si>
  <si>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</si>
  <si>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</si>
  <si>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</si>
  <si>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</si>
  <si>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</si>
  <si>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</si>
  <si>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</si>
  <si>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</si>
  <si>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</si>
  <si>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</si>
  <si>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</si>
  <si>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</si>
  <si>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</si>
  <si>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</si>
  <si>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</si>
  <si>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</si>
  <si>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</si>
  <si>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</si>
  <si>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</si>
  <si>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</si>
  <si>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</si>
  <si>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</si>
  <si>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</si>
  <si>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</si>
  <si>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</si>
  <si>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</si>
  <si>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</si>
  <si>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</si>
  <si>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</si>
  <si>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</si>
  <si>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</si>
  <si>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</si>
  <si>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</si>
  <si>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</si>
  <si>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</si>
  <si>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</si>
  <si>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</si>
  <si>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</si>
  <si>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</si>
  <si>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</si>
  <si>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</si>
  <si>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</si>
  <si>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</si>
  <si>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</si>
  <si>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</si>
  <si>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</si>
  <si>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</si>
  <si>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</si>
  <si>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</si>
  <si>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</si>
  <si>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</si>
  <si>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</si>
  <si>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</si>
  <si>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</si>
  <si>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</si>
  <si>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</si>
  <si>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</si>
  <si>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</si>
  <si>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</si>
  <si>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</si>
  <si>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</si>
  <si>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</si>
  <si>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</si>
  <si>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</si>
  <si>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</si>
  <si>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</si>
  <si>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</si>
  <si>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</si>
  <si>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</si>
  <si>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</si>
  <si>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</si>
  <si>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</si>
  <si>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</si>
  <si>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</si>
  <si>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</si>
  <si>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</si>
  <si>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</si>
  <si>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</si>
  <si>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</si>
  <si>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</si>
  <si>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</si>
  <si>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</si>
  <si>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</si>
  <si>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</si>
  <si>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</si>
  <si>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</si>
  <si>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</si>
  <si>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</si>
  <si>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</si>
  <si>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</si>
  <si>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</si>
  <si>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</si>
  <si>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</si>
  <si>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</si>
  <si>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</si>
  <si>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</si>
  <si>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</si>
  <si>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</si>
  <si>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</si>
  <si>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</si>
  <si>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</si>
  <si>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</si>
  <si>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</si>
  <si>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</si>
  <si>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</si>
  <si>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</si>
  <si>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</si>
  <si>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</si>
  <si>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</si>
  <si>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</si>
  <si>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</si>
  <si>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</si>
  <si>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</si>
  <si>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</si>
  <si>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</si>
  <si>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</si>
  <si>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</si>
  <si>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</si>
  <si>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</si>
  <si>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</si>
  <si>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</si>
  <si>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</si>
  <si>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</si>
  <si>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</si>
  <si>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</si>
  <si>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</si>
  <si>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</si>
  <si>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</si>
  <si>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</si>
  <si>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</si>
  <si>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</si>
  <si>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</si>
  <si>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</si>
  <si>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</si>
  <si>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</si>
  <si>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</si>
  <si>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</si>
  <si>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</si>
  <si>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</si>
  <si>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</si>
  <si>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</si>
  <si>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</si>
  <si>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</si>
  <si>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</si>
  <si>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</si>
  <si>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</si>
  <si>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</si>
  <si>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</si>
  <si>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</si>
  <si>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</si>
  <si>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</si>
  <si>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</si>
  <si>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</si>
  <si>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</si>
  <si>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</si>
  <si>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</si>
  <si>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</si>
  <si>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</si>
  <si>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</si>
  <si>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</si>
  <si>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</si>
  <si>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</si>
  <si>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</si>
  <si>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</si>
  <si>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</si>
  <si>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</si>
  <si>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</si>
  <si>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</si>
  <si>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</si>
  <si>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</si>
  <si>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</si>
  <si>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</si>
  <si>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</si>
  <si>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</si>
  <si>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</si>
  <si>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</si>
  <si>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</si>
  <si>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</si>
  <si>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</si>
  <si>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</si>
  <si>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</si>
  <si>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</si>
  <si>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</si>
  <si>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</si>
  <si>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</si>
  <si>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</si>
  <si>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</si>
  <si>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</si>
  <si>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</si>
  <si>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</si>
  <si>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</si>
  <si>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</si>
  <si>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</si>
  <si>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</si>
  <si>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</si>
  <si>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</si>
  <si>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</si>
  <si>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</si>
  <si>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</si>
  <si>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</si>
  <si>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</si>
  <si>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</si>
  <si>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</si>
  <si>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</si>
  <si>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</si>
  <si>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</si>
  <si>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</si>
  <si>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</si>
  <si>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</si>
  <si>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</si>
  <si>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</si>
  <si>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</si>
  <si>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</si>
  <si>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</si>
  <si>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</si>
  <si>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</si>
  <si>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</si>
  <si>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</si>
  <si>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</si>
  <si>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</si>
  <si>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</si>
  <si>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</si>
  <si>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</si>
  <si>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</si>
  <si>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</si>
  <si>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</si>
  <si>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</si>
  <si>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</si>
  <si>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</si>
  <si>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</si>
  <si>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</si>
  <si>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</si>
  <si>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</si>
  <si>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</si>
  <si>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</si>
  <si>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</si>
  <si>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</si>
  <si>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</si>
  <si>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</si>
  <si>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</si>
  <si>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</si>
  <si>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</si>
  <si>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</si>
  <si>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</si>
  <si>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</si>
  <si>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</si>
  <si>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</si>
  <si>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</si>
  <si>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</si>
  <si>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</si>
  <si>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</si>
  <si>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</si>
  <si>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</si>
  <si>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</si>
  <si>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</si>
  <si>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</si>
  <si>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</si>
  <si>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</si>
  <si>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</si>
  <si>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</si>
  <si>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</si>
  <si>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</si>
  <si>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</si>
  <si>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</si>
  <si>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</si>
  <si>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</si>
  <si>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</si>
  <si>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</si>
  <si>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</si>
  <si>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</si>
  <si>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</si>
  <si>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</si>
  <si>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</si>
  <si>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</si>
  <si>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</si>
  <si>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</si>
  <si>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</si>
  <si>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</si>
  <si>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</si>
  <si>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</si>
  <si>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</si>
  <si>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</si>
  <si>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</si>
  <si>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</si>
  <si>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</si>
  <si>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</si>
  <si>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</si>
  <si>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</si>
  <si>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</si>
  <si>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</si>
  <si>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</si>
  <si>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</si>
  <si>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</si>
  <si>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</si>
  <si>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</si>
  <si>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</si>
  <si>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</si>
  <si>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</si>
  <si>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</si>
  <si>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</si>
  <si>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</si>
  <si>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</si>
  <si>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</si>
  <si>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</si>
  <si>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</si>
  <si>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</si>
  <si>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</si>
  <si>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</si>
  <si>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</si>
  <si>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</si>
  <si>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</si>
  <si>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</si>
  <si>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</si>
  <si>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</si>
  <si>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</si>
  <si>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</si>
  <si>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</si>
  <si>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</si>
  <si>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</si>
  <si>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</si>
  <si>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</si>
  <si>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</si>
  <si>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</si>
  <si>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</si>
  <si>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</si>
  <si>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</si>
  <si>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</si>
  <si>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</si>
  <si>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</si>
  <si>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</si>
  <si>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</si>
  <si>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</si>
  <si>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</si>
  <si>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</si>
  <si>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</si>
  <si>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</si>
  <si>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</si>
  <si>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</si>
  <si>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</si>
  <si>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</si>
  <si>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</si>
  <si>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</si>
  <si>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</si>
  <si>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</si>
  <si>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</si>
  <si>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</si>
  <si>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</si>
  <si>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</si>
  <si>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</si>
  <si>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</si>
  <si>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</si>
  <si>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</si>
  <si>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</si>
  <si>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</si>
  <si>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</si>
  <si>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</si>
  <si>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</si>
  <si>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</si>
  <si>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</si>
  <si>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</si>
  <si>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</si>
  <si>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</si>
  <si>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</si>
  <si>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</si>
  <si>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</si>
  <si>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</si>
  <si>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</si>
  <si>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</si>
  <si>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</si>
  <si>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</si>
  <si>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</si>
  <si>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</si>
  <si>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</si>
  <si>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</si>
  <si>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</si>
  <si>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</si>
  <si>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</si>
  <si>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</si>
  <si>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</si>
  <si>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</si>
  <si>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</si>
  <si>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</si>
  <si>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</si>
  <si>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</si>
  <si>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</si>
  <si>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</si>
  <si>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</si>
  <si>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</si>
  <si>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</si>
  <si>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</si>
  <si>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</si>
  <si>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</si>
  <si>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</si>
  <si>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</si>
  <si>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</si>
  <si>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</si>
  <si>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</si>
  <si>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</si>
  <si>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</si>
  <si>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</si>
  <si>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</si>
  <si>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</si>
  <si>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</si>
  <si>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</si>
  <si>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</si>
  <si>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</si>
  <si>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</si>
  <si>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</si>
  <si>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</si>
  <si>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</si>
  <si>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</si>
  <si>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</si>
  <si>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</si>
  <si>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</si>
  <si>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</si>
  <si>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</si>
  <si>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</si>
  <si>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</si>
  <si>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</si>
  <si>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</si>
  <si>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</si>
  <si>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</si>
  <si>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</si>
  <si>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</si>
  <si>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</si>
  <si>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</si>
  <si>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</si>
  <si>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</si>
  <si>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</si>
  <si>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</si>
  <si>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</si>
  <si>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</si>
  <si>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</si>
  <si>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</si>
  <si>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</si>
  <si>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</si>
  <si>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</si>
  <si>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</si>
  <si>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</si>
  <si>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</si>
  <si>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</si>
  <si>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</si>
  <si>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</si>
  <si>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</si>
  <si>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</si>
  <si>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</si>
  <si>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</si>
  <si>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</si>
  <si>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</si>
  <si>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</si>
  <si>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</si>
  <si>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</si>
  <si>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</si>
  <si>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</si>
  <si>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</si>
  <si>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</si>
  <si>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</si>
  <si>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</si>
  <si>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</si>
  <si>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</si>
  <si>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</si>
  <si>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</si>
  <si>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</si>
  <si>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</si>
  <si>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</si>
  <si>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</si>
  <si>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</si>
  <si>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</si>
  <si>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</si>
  <si>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</si>
  <si>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</si>
  <si>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</si>
  <si>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</si>
  <si>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</si>
  <si>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</si>
  <si>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</si>
  <si>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</si>
  <si>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</si>
  <si>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</si>
  <si>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</si>
  <si>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</si>
  <si>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</si>
  <si>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</si>
  <si>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</si>
  <si>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</si>
  <si>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</si>
  <si>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</si>
  <si>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</si>
  <si>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</si>
  <si>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</si>
  <si>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</si>
  <si>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</si>
  <si>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</si>
  <si>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</si>
  <si>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</si>
  <si>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</si>
  <si>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</si>
  <si>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</si>
  <si>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</si>
  <si>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</si>
  <si>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</si>
  <si>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</si>
  <si>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</si>
  <si>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</si>
  <si>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</si>
  <si>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</si>
  <si>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</si>
  <si>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</si>
  <si>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</si>
  <si>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</si>
  <si>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</si>
  <si>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</si>
  <si>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</si>
  <si>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</si>
  <si>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</si>
  <si>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</si>
  <si>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</si>
  <si>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</si>
  <si>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</si>
  <si>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</si>
  <si>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</si>
  <si>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</si>
  <si>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</si>
  <si>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</si>
  <si>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</si>
  <si>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</si>
  <si>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</si>
  <si>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</si>
  <si>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</si>
  <si>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</si>
  <si>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</si>
  <si>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</si>
  <si>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</si>
  <si>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</si>
  <si>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</si>
  <si>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</si>
  <si>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</si>
  <si>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</si>
  <si>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</si>
  <si>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</si>
  <si>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</si>
  <si>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</si>
  <si>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</si>
  <si>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</si>
  <si>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</si>
  <si>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</si>
  <si>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</si>
  <si>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</si>
  <si>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</si>
  <si>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</si>
  <si>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</si>
  <si>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</si>
  <si>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</si>
  <si>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</si>
  <si>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</si>
  <si>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</si>
  <si>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</si>
  <si>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</si>
  <si>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</si>
  <si>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</si>
  <si>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</si>
  <si>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</si>
  <si>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</si>
  <si>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</si>
  <si>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</si>
  <si>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</si>
  <si>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</si>
  <si>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</si>
  <si>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</si>
  <si>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</si>
  <si>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</si>
  <si>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</si>
  <si>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</si>
  <si>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</si>
  <si>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</si>
  <si>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</si>
  <si>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</si>
  <si>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</si>
  <si>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</si>
  <si>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</si>
  <si>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</si>
  <si>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</si>
  <si>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</si>
  <si>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</si>
  <si>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</si>
  <si>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</si>
  <si>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</si>
  <si>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</si>
  <si>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</si>
  <si>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</si>
  <si>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</si>
  <si>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</si>
  <si>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</si>
  <si>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</si>
  <si>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</si>
  <si>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</si>
  <si>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</si>
  <si>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</si>
  <si>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</si>
  <si>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</si>
  <si>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</si>
  <si>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</si>
  <si>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</si>
  <si>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</si>
  <si>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</si>
  <si>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</si>
  <si>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</si>
  <si>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</si>
  <si>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</si>
  <si>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</si>
  <si>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</si>
  <si>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</si>
  <si>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</si>
  <si>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</si>
  <si>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</si>
  <si>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</si>
  <si>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</si>
  <si>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</si>
  <si>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</si>
  <si>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</si>
  <si>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</si>
  <si>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</si>
  <si>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</si>
  <si>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</si>
  <si>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</si>
  <si>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</si>
  <si>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</si>
  <si>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</si>
  <si>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</si>
  <si>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</si>
  <si>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</si>
  <si>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</si>
  <si>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</si>
  <si>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</si>
  <si>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</si>
  <si>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</si>
  <si>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</si>
  <si>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</si>
  <si>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</si>
  <si>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</si>
  <si>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</si>
  <si>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</si>
  <si>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</si>
  <si>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</si>
  <si>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</si>
  <si>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</si>
  <si>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</si>
  <si>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</si>
  <si>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</si>
  <si>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</si>
  <si>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</si>
  <si>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</si>
  <si>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</si>
  <si>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</si>
  <si>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</si>
  <si>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</si>
  <si>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</si>
  <si>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</si>
  <si>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</si>
  <si>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</si>
  <si>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</si>
  <si>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</si>
  <si>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</si>
  <si>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</si>
  <si>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</si>
  <si>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</si>
  <si>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</si>
  <si>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</si>
  <si>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</si>
  <si>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</si>
  <si>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</si>
  <si>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</si>
  <si>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</si>
  <si>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</si>
  <si>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</si>
  <si>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</si>
  <si>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</si>
  <si>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</si>
  <si>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</si>
  <si>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</si>
  <si>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</si>
  <si>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</si>
  <si>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</si>
  <si>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</si>
  <si>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</si>
  <si>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</si>
  <si>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</si>
  <si>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</si>
  <si>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</si>
  <si>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</si>
  <si>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</si>
  <si>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</si>
  <si>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</si>
  <si>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</si>
  <si>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</si>
  <si>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</si>
  <si>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</si>
  <si>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</si>
  <si>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</si>
  <si>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</si>
  <si>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</si>
  <si>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</si>
  <si>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</si>
  <si>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</si>
  <si>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</si>
  <si>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</si>
  <si>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</si>
  <si>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</si>
  <si>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</si>
  <si>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</si>
  <si>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</si>
  <si>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</si>
  <si>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</si>
  <si>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</si>
  <si>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</si>
  <si>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</si>
  <si>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</si>
  <si>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</si>
  <si>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</si>
  <si>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</si>
  <si>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</si>
  <si>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</si>
  <si>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</si>
  <si>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</si>
  <si>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</si>
  <si>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</si>
  <si>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</si>
  <si>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</si>
  <si>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</si>
  <si>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</si>
  <si>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</si>
  <si>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</si>
  <si>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</si>
  <si>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</si>
  <si>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</si>
  <si>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</si>
  <si>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</si>
  <si>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</si>
  <si>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</si>
  <si>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</si>
  <si>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</si>
  <si>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</si>
  <si>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</si>
  <si>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</si>
  <si>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</si>
  <si>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</si>
  <si>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</si>
  <si>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</si>
  <si>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</si>
  <si>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</si>
  <si>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</si>
  <si>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</si>
  <si>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</si>
  <si>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</si>
  <si>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</si>
  <si>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</si>
  <si>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</si>
  <si>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</si>
  <si>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</si>
  <si>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</si>
  <si>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</si>
  <si>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</si>
  <si>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</si>
  <si>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</si>
  <si>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</si>
  <si>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</si>
  <si>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</si>
  <si>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</si>
  <si>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</si>
  <si>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</si>
  <si>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</si>
  <si>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</si>
  <si>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</si>
  <si>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</si>
  <si>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</si>
  <si>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</si>
  <si>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</si>
  <si>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</si>
  <si>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</si>
  <si>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</si>
  <si>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</si>
  <si>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</si>
  <si>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</si>
  <si>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</si>
  <si>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</si>
  <si>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</si>
  <si>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</si>
  <si>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</si>
  <si>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</si>
  <si>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</si>
  <si>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</si>
  <si>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</si>
  <si>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</si>
  <si>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</si>
  <si>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</si>
  <si>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</si>
  <si>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</si>
  <si>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</si>
  <si>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</si>
  <si>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</si>
  <si>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</si>
  <si>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</si>
  <si>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</si>
  <si>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</si>
  <si>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</si>
  <si>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</si>
  <si>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</si>
  <si>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</si>
  <si>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</si>
  <si>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</si>
  <si>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</si>
  <si>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</si>
  <si>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</si>
  <si>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</si>
  <si>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</si>
  <si>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</si>
  <si>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</si>
  <si>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</si>
  <si>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</si>
  <si>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</si>
  <si>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</si>
  <si>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</si>
  <si>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</si>
  <si>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</si>
  <si>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</si>
  <si>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</si>
  <si>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</si>
  <si>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</si>
  <si>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</si>
  <si>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</si>
  <si>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</si>
  <si>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</si>
  <si>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</si>
  <si>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</si>
  <si>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</si>
  <si>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</si>
  <si>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</si>
  <si>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</si>
  <si>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</si>
  <si>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</si>
  <si>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</si>
  <si>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</si>
  <si>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</si>
  <si>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</si>
  <si>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</si>
  <si>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</si>
  <si>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</si>
  <si>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</si>
  <si>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</si>
  <si>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</si>
  <si>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</si>
  <si>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</si>
  <si>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</si>
  <si>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</si>
  <si>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</si>
  <si>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</si>
  <si>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</si>
  <si>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</si>
  <si>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</si>
  <si>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</si>
  <si>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</si>
  <si>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</si>
  <si>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</si>
  <si>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</si>
  <si>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</si>
  <si>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</si>
  <si>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</si>
  <si>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</si>
  <si>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</si>
  <si>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</si>
  <si>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</si>
  <si>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</si>
  <si>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</si>
  <si>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</si>
  <si>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</si>
  <si>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</si>
  <si>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</si>
  <si>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</si>
  <si>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</si>
  <si>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</si>
  <si>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</si>
  <si>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</si>
  <si>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</si>
  <si>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</si>
  <si>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</si>
  <si>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</si>
  <si>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</si>
  <si>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</si>
  <si>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</si>
  <si>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</si>
  <si>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</si>
  <si>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</si>
  <si>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</si>
  <si>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</si>
  <si>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</si>
  <si>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</si>
  <si>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</si>
  <si>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</si>
  <si>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</si>
  <si>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</si>
  <si>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</si>
  <si>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</si>
  <si>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</si>
  <si>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</si>
  <si>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</si>
  <si>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</si>
  <si>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</si>
  <si>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</si>
  <si>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</si>
  <si>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</si>
  <si>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</si>
  <si>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</si>
  <si>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</si>
  <si>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</si>
  <si>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</si>
  <si>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</si>
  <si>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</si>
  <si>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</si>
  <si>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</si>
  <si>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</si>
  <si>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</si>
  <si>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</si>
  <si>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</si>
  <si>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</si>
  <si>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</si>
  <si>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</si>
  <si>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</si>
  <si>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</si>
  <si>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</si>
  <si>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</si>
  <si>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</si>
  <si>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</si>
  <si>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</si>
  <si>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</si>
  <si>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</si>
  <si>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</si>
  <si>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</si>
  <si>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</si>
  <si>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</si>
  <si>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</si>
  <si>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</si>
  <si>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</si>
  <si>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</si>
  <si>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</si>
  <si>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</si>
  <si>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</si>
  <si>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</si>
  <si>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</si>
  <si>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</si>
  <si>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</si>
  <si>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</si>
  <si>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</si>
  <si>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</si>
  <si>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</si>
  <si>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</si>
  <si>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</si>
  <si>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</si>
  <si>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</si>
  <si>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</si>
  <si>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</si>
  <si>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</si>
  <si>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</si>
  <si>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</si>
  <si>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</si>
  <si>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</si>
  <si>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</si>
  <si>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</si>
  <si>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</si>
  <si>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</si>
  <si>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</si>
  <si>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</si>
  <si>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</si>
  <si>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</si>
  <si>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</si>
  <si>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</si>
  <si>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</si>
  <si>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</si>
  <si>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</si>
  <si>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</si>
  <si>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</si>
  <si>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</si>
  <si>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</si>
  <si>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</si>
  <si>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</si>
  <si>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</si>
  <si>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</si>
  <si>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</si>
  <si>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</si>
  <si>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</si>
  <si>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</si>
  <si>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</si>
  <si>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</si>
  <si>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</si>
  <si>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</si>
  <si>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</si>
  <si>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</si>
  <si>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</si>
  <si>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</si>
  <si>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</si>
  <si>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</si>
  <si>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</si>
  <si>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</si>
  <si>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</si>
  <si>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</si>
  <si>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</si>
  <si>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</si>
  <si>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</si>
  <si>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</si>
  <si>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</si>
  <si>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</si>
  <si>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</si>
  <si>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</si>
  <si>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</si>
  <si>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</si>
  <si>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</si>
  <si>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</si>
  <si>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</si>
  <si>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</si>
  <si>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</si>
  <si>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</si>
  <si>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</si>
  <si>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</si>
  <si>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</si>
  <si>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</si>
  <si>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</si>
  <si>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</si>
  <si>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</si>
  <si>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</si>
  <si>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</si>
  <si>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</si>
  <si>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</si>
  <si>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</si>
  <si>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</si>
  <si>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</si>
  <si>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</si>
  <si>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</si>
  <si>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</si>
  <si>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</si>
  <si>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</si>
  <si>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</si>
  <si>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</si>
  <si>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</si>
  <si>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</si>
  <si>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</si>
  <si>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</si>
  <si>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</si>
  <si>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</si>
  <si>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</si>
  <si>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</si>
  <si>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</si>
  <si>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</si>
  <si>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</si>
  <si>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</si>
  <si>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</si>
  <si>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</si>
  <si>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</si>
  <si>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</si>
  <si>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</si>
  <si>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</si>
  <si>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</si>
  <si>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</si>
  <si>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</si>
  <si>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</si>
  <si>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</si>
  <si>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</si>
  <si>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</si>
  <si>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</si>
  <si>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</si>
  <si>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</si>
  <si>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</si>
  <si>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</si>
  <si>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</si>
  <si>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</si>
  <si>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</si>
  <si>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</si>
  <si>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</si>
  <si>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</si>
  <si>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</si>
  <si>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</si>
  <si>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</si>
  <si>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</si>
  <si>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</si>
  <si>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</si>
  <si>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</si>
  <si>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</si>
  <si>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</si>
  <si>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</si>
  <si>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</si>
  <si>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</si>
  <si>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</si>
  <si>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</si>
  <si>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</si>
  <si>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</si>
  <si>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</si>
  <si>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</si>
  <si>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</si>
  <si>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</si>
  <si>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</si>
  <si>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</si>
  <si>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</si>
  <si>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</si>
  <si>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</si>
  <si>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</si>
  <si>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</si>
  <si>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</si>
  <si>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</si>
  <si>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</si>
  <si>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</si>
  <si>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</si>
  <si>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</si>
  <si>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</si>
  <si>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</si>
  <si>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</si>
  <si>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</si>
  <si>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</si>
  <si>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</si>
  <si>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</si>
  <si>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</si>
  <si>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</si>
  <si>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</si>
  <si>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</si>
  <si>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</si>
  <si>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</si>
  <si>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</si>
  <si>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</si>
  <si>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</si>
  <si>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</si>
  <si>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</si>
  <si>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</si>
  <si>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</si>
  <si>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</si>
  <si>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</si>
  <si>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</si>
  <si>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</si>
  <si>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</si>
  <si>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</si>
  <si>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</si>
  <si>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</si>
  <si>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</si>
  <si>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</si>
  <si>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</si>
  <si>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</si>
  <si>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</si>
  <si>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</si>
  <si>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</si>
  <si>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</si>
  <si>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</si>
  <si>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</si>
  <si>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</si>
  <si>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</si>
  <si>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</si>
  <si>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</si>
  <si>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</si>
  <si>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</si>
  <si>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</si>
  <si>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</si>
  <si>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</si>
  <si>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</si>
  <si>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</si>
  <si>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</si>
  <si>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</si>
  <si>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</si>
  <si>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</si>
  <si>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</si>
  <si>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</si>
  <si>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</si>
  <si>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</si>
  <si>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</si>
  <si>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</si>
  <si>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</si>
  <si>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</si>
  <si>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</si>
  <si>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</si>
  <si>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</si>
  <si>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</si>
  <si>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</si>
  <si>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</si>
  <si>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</si>
  <si>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</si>
  <si>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</si>
  <si>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</si>
  <si>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</si>
  <si>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</si>
  <si>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</si>
  <si>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</si>
  <si>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</si>
  <si>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</si>
  <si>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</si>
  <si>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</si>
  <si>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</si>
  <si>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</si>
  <si>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</si>
  <si>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</si>
  <si>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</si>
  <si>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</si>
  <si>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</si>
  <si>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</si>
  <si>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</si>
  <si>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</si>
  <si>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</si>
  <si>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</si>
  <si>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</si>
  <si>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</si>
  <si>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</si>
  <si>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</si>
  <si>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</si>
  <si>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</si>
  <si>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</si>
  <si>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</si>
  <si>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</si>
  <si>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</si>
  <si>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</si>
  <si>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</si>
  <si>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</si>
  <si>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</si>
  <si>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</si>
  <si>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</si>
  <si>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</si>
  <si>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</si>
  <si>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</si>
  <si>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</si>
  <si>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</si>
  <si>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</si>
  <si>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</si>
  <si>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</si>
  <si>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</si>
  <si>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</si>
  <si>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</si>
  <si>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</si>
  <si>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</si>
  <si>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</si>
  <si>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</si>
  <si>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</si>
  <si>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</si>
  <si>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</si>
  <si>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</si>
  <si>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</si>
  <si>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</si>
  <si>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</si>
  <si>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</si>
  <si>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</si>
  <si>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</si>
  <si>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</si>
  <si>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</si>
  <si>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</si>
  <si>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</si>
  <si>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</si>
  <si>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</si>
  <si>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</si>
  <si>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</si>
  <si>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</si>
  <si>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</si>
  <si>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</si>
  <si>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</si>
  <si>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</si>
  <si>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</si>
  <si>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</si>
  <si>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</si>
  <si>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</si>
  <si>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</si>
  <si>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</si>
  <si>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</si>
  <si>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</si>
  <si>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</si>
  <si>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</si>
  <si>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</si>
  <si>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</si>
  <si>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</si>
  <si>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</si>
  <si>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</si>
  <si>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</si>
  <si>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</si>
  <si>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</si>
  <si>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</si>
  <si>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</si>
  <si>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</si>
  <si>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</si>
  <si>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</si>
  <si>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</si>
  <si>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</si>
  <si>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</si>
  <si>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</si>
  <si>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</si>
  <si>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</si>
  <si>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</si>
  <si>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</si>
  <si>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</si>
  <si>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</si>
  <si>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</si>
  <si>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</si>
  <si>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</si>
  <si>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</si>
  <si>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</si>
  <si>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</si>
  <si>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</si>
  <si>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</si>
  <si>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</si>
  <si>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</si>
  <si>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</si>
  <si>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</si>
  <si>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</si>
  <si>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</si>
  <si>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</si>
  <si>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</si>
  <si>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</si>
  <si>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</si>
  <si>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</si>
  <si>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</si>
  <si>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</si>
  <si>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</si>
  <si>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</si>
  <si>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</si>
  <si>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</si>
  <si>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</si>
  <si>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</si>
  <si>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</si>
  <si>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</si>
  <si>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</si>
  <si>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</si>
  <si>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</si>
  <si>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</si>
  <si>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</si>
  <si>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</si>
  <si>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</si>
  <si>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</si>
  <si>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</si>
  <si>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</si>
  <si>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</si>
  <si>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</si>
  <si>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</si>
  <si>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</si>
  <si>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</si>
  <si>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</si>
  <si>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</si>
  <si>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</si>
  <si>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</si>
  <si>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</si>
  <si>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</si>
  <si>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</si>
  <si>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</si>
  <si>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</si>
  <si>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</si>
  <si>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</si>
  <si>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</si>
  <si>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</si>
  <si>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</si>
  <si>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</si>
  <si>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</si>
  <si>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</si>
  <si>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</si>
  <si>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</si>
  <si>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</si>
  <si>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</si>
  <si>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</si>
  <si>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</si>
  <si>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</si>
  <si>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</si>
  <si>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</si>
  <si>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</si>
  <si>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</si>
  <si>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</si>
  <si>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</si>
  <si>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</si>
  <si>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</si>
  <si>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</si>
  <si>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</si>
  <si>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</si>
  <si>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</si>
  <si>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</si>
  <si>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</si>
  <si>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</si>
  <si>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</si>
  <si>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</si>
  <si>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</si>
  <si>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</si>
  <si>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</si>
  <si>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</si>
  <si>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</si>
  <si>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</si>
  <si>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</si>
  <si>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</si>
  <si>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</si>
  <si>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</si>
  <si>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</si>
  <si>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</si>
  <si>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</si>
  <si>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</si>
  <si>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</si>
  <si>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</si>
  <si>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</si>
  <si>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</si>
  <si>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</si>
  <si>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</si>
  <si>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</si>
  <si>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</si>
  <si>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</si>
  <si>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</si>
  <si>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</si>
  <si>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</si>
  <si>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</si>
  <si>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</si>
  <si>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</si>
  <si>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</si>
  <si>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</si>
  <si>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</si>
  <si>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</si>
  <si>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</si>
  <si>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</si>
  <si>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</si>
  <si>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</si>
  <si>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</si>
  <si>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</si>
  <si>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</si>
  <si>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</si>
  <si>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</si>
  <si>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</si>
  <si>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</si>
  <si>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</si>
  <si>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</si>
  <si>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</si>
  <si>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</si>
  <si>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</si>
  <si>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</si>
  <si>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</si>
  <si>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</si>
  <si>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</si>
  <si>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</si>
  <si>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</si>
  <si>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</si>
  <si>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</si>
  <si>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</si>
  <si>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</si>
  <si>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</si>
  <si>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</si>
  <si>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</si>
  <si>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</si>
  <si>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</si>
  <si>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</si>
  <si>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</si>
  <si>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</si>
  <si>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</si>
  <si>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</si>
  <si>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</si>
  <si>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</si>
  <si>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</si>
  <si>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</si>
  <si>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</si>
  <si>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</si>
  <si>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</si>
  <si>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</si>
  <si>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</si>
  <si>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</si>
  <si>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</si>
  <si>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</si>
  <si>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</si>
  <si>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</si>
  <si>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</si>
  <si>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</si>
  <si>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</si>
  <si>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</si>
  <si>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</si>
  <si>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</si>
  <si>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</si>
  <si>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</si>
  <si>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</si>
  <si>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</si>
  <si>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</si>
  <si>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</si>
  <si>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</si>
  <si>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</si>
  <si>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</si>
  <si>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</si>
  <si>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</si>
  <si>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</si>
  <si>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</si>
  <si>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</si>
  <si>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</si>
  <si>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</si>
  <si>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</si>
  <si>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</si>
  <si>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</si>
  <si>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</si>
  <si>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</si>
  <si>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</si>
  <si>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</si>
  <si>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</si>
  <si>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</si>
  <si>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</si>
  <si>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</si>
  <si>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</si>
  <si>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</si>
  <si>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</si>
  <si>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</si>
  <si>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</si>
  <si>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</si>
  <si>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</si>
  <si>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</si>
  <si>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</si>
  <si>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</si>
  <si>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</si>
  <si>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</si>
  <si>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</si>
  <si>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</si>
  <si>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</si>
  <si>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</si>
  <si>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</si>
  <si>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</si>
  <si>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</si>
  <si>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</si>
  <si>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</si>
  <si>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</si>
  <si>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</si>
  <si>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</si>
  <si>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</si>
  <si>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</si>
  <si>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</si>
  <si>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</si>
  <si>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</si>
  <si>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</si>
  <si>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</si>
  <si>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</si>
  <si>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</si>
  <si>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</si>
  <si>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</si>
  <si>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</si>
  <si>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</si>
  <si>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</si>
  <si>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</si>
  <si>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</si>
  <si>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</si>
  <si>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</si>
  <si>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</si>
  <si>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</si>
  <si>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</si>
  <si>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</si>
  <si>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</si>
  <si>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</si>
  <si>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</si>
  <si>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</si>
  <si>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</si>
  <si>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</si>
  <si>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</si>
  <si>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</si>
  <si>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</si>
  <si>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</si>
  <si>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</si>
  <si>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</si>
  <si>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</si>
  <si>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</si>
  <si>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</si>
  <si>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</si>
  <si>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</si>
  <si>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</si>
  <si>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</si>
  <si>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</si>
  <si>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</si>
  <si>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</si>
  <si>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</si>
  <si>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</si>
  <si>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</si>
  <si>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</si>
  <si>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</si>
  <si>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</si>
  <si>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</si>
  <si>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</si>
  <si>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</si>
  <si>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</si>
  <si>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</si>
  <si>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</si>
  <si>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</si>
  <si>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</si>
  <si>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</si>
  <si>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</si>
  <si>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</si>
  <si>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</si>
  <si>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</si>
  <si>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</si>
  <si>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</si>
  <si>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</si>
  <si>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</si>
  <si>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</si>
  <si>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</si>
  <si>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</si>
  <si>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</si>
  <si>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</si>
  <si>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</si>
  <si>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</si>
  <si>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</si>
  <si>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</si>
  <si>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</si>
  <si>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</si>
  <si>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</si>
  <si>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</si>
  <si>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</si>
  <si>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</si>
  <si>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</si>
  <si>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</si>
  <si>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</si>
  <si>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</si>
  <si>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</si>
  <si>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</si>
  <si>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</si>
  <si>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</si>
  <si>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</si>
  <si>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</si>
  <si>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</si>
  <si>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</si>
  <si>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</si>
  <si>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</si>
  <si>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</si>
  <si>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</si>
  <si>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</si>
  <si>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</si>
  <si>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</si>
  <si>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</si>
  <si>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</si>
  <si>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</si>
  <si>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</si>
  <si>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</si>
  <si>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</si>
  <si>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</si>
  <si>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</si>
  <si>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</si>
  <si>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</si>
  <si>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</si>
  <si>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</si>
  <si>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</si>
  <si>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</si>
  <si>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</si>
  <si>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</si>
  <si>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</si>
  <si>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</si>
  <si>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</si>
  <si>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</si>
  <si>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</si>
  <si>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</si>
  <si>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</si>
  <si>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</si>
  <si>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</si>
  <si>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</si>
  <si>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</si>
  <si>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</si>
  <si>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</si>
  <si>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</si>
  <si>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</si>
  <si>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</si>
  <si>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</si>
  <si>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</si>
  <si>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</si>
  <si>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</si>
  <si>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</si>
  <si>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</si>
  <si>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</si>
  <si>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</si>
  <si>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</si>
  <si>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</si>
  <si>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</si>
  <si>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</si>
  <si>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</si>
  <si>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</si>
  <si>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</si>
  <si>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</si>
  <si>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</si>
  <si>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</si>
  <si>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</si>
  <si>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</si>
  <si>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</si>
  <si>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</si>
  <si>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</si>
  <si>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</si>
  <si>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</si>
  <si>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</si>
  <si>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</si>
  <si>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</si>
  <si>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</si>
  <si>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</si>
  <si>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</si>
  <si>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</si>
  <si>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</si>
  <si>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</si>
  <si>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</si>
  <si>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</si>
  <si>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</si>
  <si>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</si>
  <si>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</si>
  <si>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</si>
  <si>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</si>
  <si>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</si>
  <si>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</si>
  <si>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</si>
  <si>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</si>
  <si>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</si>
  <si>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</si>
  <si>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</si>
  <si>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</si>
  <si>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</si>
  <si>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</si>
  <si>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</si>
  <si>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</si>
  <si>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</si>
  <si>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</si>
  <si>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</si>
  <si>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</si>
  <si>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</si>
  <si>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</si>
  <si>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</si>
  <si>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</si>
  <si>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</si>
  <si>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</si>
  <si>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</si>
  <si>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</si>
  <si>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</si>
  <si>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</si>
  <si>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</si>
  <si>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</si>
  <si>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</si>
  <si>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</si>
  <si>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</si>
  <si>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</si>
  <si>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</si>
  <si>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</si>
  <si>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</si>
  <si>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</si>
  <si>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</si>
  <si>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</si>
  <si>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</si>
  <si>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</si>
  <si>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</si>
  <si>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</si>
  <si>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</si>
  <si>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</si>
  <si>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</si>
  <si>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</si>
  <si>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</si>
  <si>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</si>
  <si>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</si>
  <si>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</si>
  <si>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</si>
  <si>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</si>
  <si>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</si>
  <si>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</si>
  <si>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</si>
  <si>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</si>
  <si>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</si>
  <si>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</si>
  <si>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</si>
  <si>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</si>
  <si>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</si>
  <si>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</si>
  <si>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</si>
  <si>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</si>
  <si>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</si>
  <si>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</si>
  <si>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</si>
  <si>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</si>
  <si>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</si>
  <si>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</si>
  <si>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</si>
  <si>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</si>
  <si>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</si>
  <si>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</si>
  <si>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</si>
  <si>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</si>
  <si>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</si>
  <si>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</si>
  <si>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</si>
  <si>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</si>
  <si>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</si>
  <si>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</si>
  <si>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</si>
  <si>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</si>
  <si>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</si>
  <si>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</si>
  <si>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</si>
  <si>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</si>
  <si>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</si>
  <si>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</si>
  <si>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</si>
  <si>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</si>
  <si>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</si>
  <si>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</si>
  <si>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</si>
  <si>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</si>
  <si>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</si>
  <si>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</si>
  <si>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</si>
  <si>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</si>
  <si>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</si>
  <si>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</si>
  <si>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</si>
  <si>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</si>
  <si>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</si>
  <si>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</si>
  <si>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</si>
  <si>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</si>
  <si>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</si>
  <si>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</si>
  <si>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</si>
  <si>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</si>
  <si>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</si>
  <si>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</si>
  <si>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</si>
  <si>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</si>
  <si>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</si>
  <si>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</si>
  <si>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</si>
  <si>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</si>
  <si>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</si>
  <si>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</si>
  <si>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</si>
  <si>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</si>
  <si>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</si>
  <si>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</si>
  <si>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</si>
  <si>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</si>
  <si>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</si>
  <si>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</si>
  <si>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</si>
  <si>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</si>
  <si>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</si>
  <si>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</si>
  <si>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</si>
  <si>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</si>
  <si>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</si>
  <si>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</si>
  <si>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</si>
  <si>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</si>
  <si>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</si>
  <si>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</si>
  <si>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</si>
  <si>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</si>
  <si>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</si>
  <si>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</si>
  <si>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</si>
  <si>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</si>
  <si>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</si>
  <si>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</si>
  <si>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</si>
  <si>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</si>
  <si>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</si>
  <si>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</si>
  <si>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</si>
  <si>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</si>
  <si>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</si>
  <si>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</si>
  <si>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</si>
  <si>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</si>
  <si>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</si>
  <si>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</si>
  <si>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</si>
  <si>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</si>
  <si>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</si>
  <si>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</si>
  <si>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</si>
  <si>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</si>
  <si>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</si>
  <si>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</si>
  <si>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</si>
  <si>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</si>
  <si>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</si>
  <si>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</si>
  <si>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</si>
  <si>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</si>
  <si>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</si>
  <si>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</si>
  <si>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</si>
  <si>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</si>
  <si>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</si>
  <si>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</si>
  <si>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</si>
  <si>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</si>
  <si>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</si>
  <si>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</si>
  <si>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</si>
  <si>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</si>
  <si>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</si>
  <si>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</si>
  <si>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</si>
  <si>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</si>
  <si>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</si>
  <si>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</si>
  <si>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</si>
  <si>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</si>
  <si>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</si>
  <si>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</si>
  <si>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</si>
  <si>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</si>
  <si>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</si>
  <si>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</si>
  <si>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</si>
  <si>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</si>
  <si>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</si>
  <si>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</si>
  <si>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</si>
  <si>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</si>
  <si>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</si>
  <si>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</si>
  <si>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</si>
  <si>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</si>
  <si>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</si>
  <si>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</si>
  <si>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</si>
  <si>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</si>
  <si>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</si>
  <si>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</si>
  <si>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</si>
  <si>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</si>
  <si>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</si>
  <si>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</si>
  <si>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</si>
  <si>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</si>
  <si>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</si>
  <si>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</si>
  <si>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</si>
  <si>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</si>
  <si>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</si>
  <si>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</si>
  <si>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</si>
  <si>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</si>
  <si>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</si>
  <si>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</si>
  <si>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</si>
  <si>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</si>
  <si>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</si>
  <si>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</si>
  <si>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</si>
  <si>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</si>
  <si>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</si>
  <si>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</si>
  <si>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</si>
  <si>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</si>
  <si>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</si>
  <si>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</si>
  <si>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</si>
  <si>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</si>
  <si>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</si>
  <si>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</si>
  <si>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</si>
  <si>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</si>
  <si>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</si>
  <si>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</si>
  <si>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</si>
  <si>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</si>
  <si>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</si>
  <si>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</si>
  <si>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</si>
  <si>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</si>
  <si>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</si>
  <si>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</si>
  <si>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</si>
  <si>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</si>
  <si>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</si>
  <si>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</si>
  <si>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</si>
  <si>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</si>
  <si>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</si>
  <si>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</si>
  <si>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</si>
  <si>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</si>
  <si>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</si>
  <si>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</si>
  <si>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</si>
  <si>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</si>
  <si>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</si>
  <si>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</si>
  <si>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</si>
  <si>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</si>
  <si>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</si>
  <si>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</si>
  <si>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</si>
  <si>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</si>
  <si>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</si>
  <si>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</si>
  <si>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</si>
  <si>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</si>
  <si>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</si>
  <si>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</si>
  <si>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</si>
  <si>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</si>
  <si>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</si>
  <si>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</si>
  <si>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</si>
  <si>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</si>
  <si>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</si>
  <si>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</si>
  <si>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</si>
  <si>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</si>
  <si>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</si>
  <si>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</si>
  <si>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</si>
  <si>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</si>
  <si>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</si>
  <si>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</si>
  <si>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</si>
  <si>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</si>
  <si>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</si>
  <si>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</si>
  <si>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</si>
  <si>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</si>
  <si>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</si>
  <si>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</si>
  <si>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</si>
  <si>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</si>
  <si>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</si>
  <si>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</si>
  <si>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</si>
  <si>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</si>
  <si>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</si>
  <si>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</si>
  <si>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</si>
  <si>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</si>
  <si>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</si>
  <si>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</si>
  <si>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</si>
  <si>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</si>
  <si>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</si>
  <si>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</si>
  <si>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</si>
  <si>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</si>
  <si>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</si>
  <si>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</si>
  <si>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</si>
  <si>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</si>
  <si>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</si>
  <si>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</si>
  <si>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</si>
  <si>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</si>
  <si>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</si>
  <si>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</si>
  <si>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</si>
  <si>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</si>
  <si>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</si>
  <si>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</si>
  <si>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</si>
  <si>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</si>
  <si>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</si>
  <si>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</si>
  <si>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</si>
  <si>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</si>
  <si>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</si>
  <si>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</si>
  <si>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</si>
  <si>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</si>
  <si>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</si>
  <si>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</si>
  <si>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</si>
  <si>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</si>
  <si>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</si>
  <si>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</si>
  <si>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</si>
  <si>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</si>
  <si>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</si>
  <si>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</si>
  <si>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</si>
  <si>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</si>
  <si>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</si>
  <si>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</si>
  <si>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</si>
  <si>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</si>
  <si>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</si>
  <si>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</si>
  <si>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</si>
  <si>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</si>
  <si>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</si>
  <si>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</si>
  <si>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</si>
  <si>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</si>
  <si>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</si>
  <si>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</si>
  <si>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</si>
  <si>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</si>
  <si>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</si>
  <si>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</si>
  <si>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</si>
  <si>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</si>
  <si>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</si>
  <si>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</si>
  <si>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</si>
  <si>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</si>
  <si>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</si>
  <si>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</si>
  <si>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</si>
  <si>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</si>
  <si>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</si>
  <si>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</si>
  <si>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</si>
  <si>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</si>
  <si>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</si>
  <si>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</si>
  <si>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</si>
  <si>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</si>
  <si>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</si>
  <si>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</si>
  <si>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</si>
  <si>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</si>
  <si>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</si>
  <si>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</si>
  <si>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</si>
  <si>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</si>
  <si>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</si>
  <si>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</si>
  <si>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</si>
  <si>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</si>
  <si>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</si>
  <si>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</si>
  <si>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</si>
  <si>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</si>
  <si>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</si>
  <si>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</si>
  <si>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</si>
  <si>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</si>
  <si>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</si>
  <si>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</si>
  <si>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</si>
  <si>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</si>
  <si>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</si>
  <si>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</si>
  <si>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</si>
  <si>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</si>
  <si>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</si>
  <si>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</si>
  <si>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</si>
  <si>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</si>
  <si>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</si>
  <si>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</si>
  <si>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</si>
  <si>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</si>
  <si>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</si>
  <si>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</si>
  <si>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</si>
  <si>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</si>
  <si>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</si>
  <si>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</si>
  <si>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</si>
  <si>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</si>
  <si>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</si>
  <si>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</si>
  <si>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</si>
  <si>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</si>
  <si>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</si>
  <si>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</si>
  <si>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</si>
  <si>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</si>
  <si>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</si>
  <si>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</si>
  <si>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</si>
  <si>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</si>
  <si>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</si>
  <si>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</si>
  <si>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</si>
  <si>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</si>
  <si>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</si>
  <si>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</si>
  <si>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</si>
  <si>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</si>
  <si>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</si>
  <si>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</si>
  <si>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</si>
  <si>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</si>
  <si>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</si>
  <si>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</si>
  <si>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</si>
  <si>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</si>
  <si>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</si>
  <si>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</si>
  <si>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</si>
  <si>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</si>
  <si>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</si>
  <si>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</si>
  <si>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</si>
  <si>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</si>
  <si>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</si>
  <si>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</si>
  <si>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</si>
  <si>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</si>
  <si>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</si>
  <si>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</si>
  <si>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</si>
  <si>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</si>
  <si>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</si>
  <si>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</si>
  <si>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</si>
  <si>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</si>
  <si>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</si>
  <si>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</si>
  <si>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</si>
  <si>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</si>
  <si>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</si>
  <si>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</si>
  <si>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</si>
  <si>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</si>
  <si>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</si>
  <si>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</si>
  <si>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</si>
  <si>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</si>
  <si>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</si>
  <si>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</si>
  <si>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</si>
  <si>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</si>
  <si>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</si>
  <si>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</si>
  <si>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</si>
  <si>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</si>
  <si>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</si>
  <si>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</si>
  <si>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</si>
  <si>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</si>
  <si>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</si>
  <si>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</si>
  <si>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</si>
  <si>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</si>
  <si>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</si>
  <si>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</si>
  <si>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</si>
  <si>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</si>
  <si>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</si>
  <si>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</si>
  <si>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</si>
  <si>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</si>
  <si>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</si>
  <si>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</si>
  <si>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</si>
  <si>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</si>
  <si>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</si>
  <si>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</si>
  <si>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</si>
  <si>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</si>
  <si>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</si>
  <si>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</si>
  <si>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</si>
  <si>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</si>
  <si>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</si>
  <si>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</si>
  <si>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</si>
  <si>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</si>
  <si>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</si>
  <si>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</si>
  <si>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</si>
  <si>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</si>
  <si>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</si>
  <si>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</si>
  <si>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</si>
  <si>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</si>
  <si>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</si>
  <si>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</si>
  <si>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</si>
  <si>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</si>
  <si>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</si>
  <si>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</si>
  <si>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</si>
  <si>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</si>
  <si>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</si>
  <si>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</si>
  <si>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</si>
  <si>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</si>
  <si>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</si>
  <si>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</si>
  <si>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</si>
  <si>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</si>
  <si>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</si>
  <si>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</si>
  <si>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</si>
  <si>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</si>
  <si>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</si>
  <si>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</si>
  <si>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</si>
  <si>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</si>
  <si>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</si>
  <si>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</si>
  <si>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</si>
  <si>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</si>
  <si>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</si>
  <si>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</si>
  <si>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</si>
  <si>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</si>
  <si>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</si>
  <si>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</si>
  <si>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</si>
  <si>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</si>
  <si>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</si>
  <si>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</si>
  <si>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</si>
  <si>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</si>
  <si>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</si>
  <si>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</si>
  <si>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</si>
  <si>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</si>
  <si>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</si>
  <si>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</si>
  <si>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</si>
  <si>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</si>
  <si>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</si>
  <si>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</si>
  <si>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</si>
  <si>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</si>
  <si>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</si>
  <si>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</si>
  <si>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</si>
  <si>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</si>
  <si>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</si>
  <si>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</si>
  <si>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</si>
  <si>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</si>
  <si>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</si>
  <si>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</si>
  <si>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</si>
  <si>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</si>
  <si>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</si>
  <si>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</si>
  <si>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</si>
  <si>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</si>
  <si>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</si>
  <si>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</si>
  <si>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</si>
  <si>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</si>
  <si>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</si>
  <si>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</si>
  <si>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</si>
  <si>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</si>
  <si>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</si>
  <si>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</si>
  <si>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</si>
  <si>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</si>
  <si>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</si>
  <si>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</si>
  <si>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</si>
  <si>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</si>
  <si>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</si>
  <si>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</si>
  <si>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</si>
  <si>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</si>
  <si>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</si>
  <si>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</si>
  <si>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</si>
  <si>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</si>
  <si>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</si>
  <si>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</si>
  <si>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</si>
  <si>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</si>
  <si>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</si>
  <si>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</si>
  <si>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</si>
  <si>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</si>
  <si>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</si>
  <si>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</si>
  <si>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</si>
  <si>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</si>
  <si>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</si>
  <si>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</si>
  <si>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</si>
  <si>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</si>
  <si>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</si>
  <si>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</si>
  <si>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</si>
  <si>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</si>
  <si>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</si>
  <si>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</si>
  <si>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</si>
  <si>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</si>
  <si>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</si>
  <si>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</si>
  <si>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</si>
  <si>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</si>
  <si>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</si>
  <si>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</si>
  <si>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</si>
  <si>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</si>
  <si>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</si>
  <si>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</si>
  <si>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</si>
  <si>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</si>
  <si>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</si>
  <si>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</si>
  <si>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</si>
  <si>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</si>
  <si>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</si>
  <si>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</si>
  <si>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</si>
  <si>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</si>
  <si>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</si>
  <si>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</si>
  <si>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</si>
  <si>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</si>
  <si>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</si>
  <si>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</si>
  <si>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</si>
  <si>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</si>
  <si>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</si>
  <si>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</si>
  <si>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</si>
  <si>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</si>
  <si>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</si>
  <si>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</si>
  <si>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</si>
  <si>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</si>
  <si>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</si>
  <si>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</si>
  <si>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</si>
  <si>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</si>
  <si>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</si>
  <si>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</si>
  <si>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</si>
  <si>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</si>
  <si>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</si>
  <si>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</si>
  <si>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</si>
  <si>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</si>
  <si>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</si>
  <si>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</si>
  <si>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</si>
  <si>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</si>
  <si>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</si>
  <si>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</si>
  <si>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</si>
  <si>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</si>
  <si>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</si>
  <si>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</si>
  <si>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</si>
  <si>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</si>
  <si>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</si>
  <si>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</si>
  <si>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</si>
  <si>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</si>
  <si>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</si>
  <si>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</si>
  <si>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</si>
  <si>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</si>
  <si>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</si>
  <si>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</si>
  <si>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</si>
  <si>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</si>
  <si>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</si>
  <si>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</si>
  <si>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</si>
  <si>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</si>
  <si>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</si>
  <si>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</si>
  <si>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</si>
  <si>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</si>
  <si>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</si>
  <si>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</si>
  <si>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</si>
  <si>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</si>
  <si>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</si>
  <si>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</si>
  <si>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</si>
  <si>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</si>
  <si>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</si>
  <si>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</si>
  <si>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</si>
  <si>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</si>
  <si>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</si>
  <si>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</si>
  <si>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</si>
  <si>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</si>
  <si>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</si>
  <si>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</si>
  <si>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</si>
  <si>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</si>
  <si>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</si>
  <si>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</si>
  <si>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</si>
  <si>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</si>
  <si>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</si>
  <si>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</si>
  <si>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</si>
  <si>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</si>
  <si>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</si>
  <si>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</si>
  <si>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</si>
  <si>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</si>
  <si>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</si>
  <si>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</si>
  <si>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</si>
  <si>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</si>
  <si>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</si>
  <si>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</si>
  <si>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</si>
  <si>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</si>
  <si>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</si>
  <si>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</si>
  <si>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</si>
  <si>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</si>
  <si>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</si>
  <si>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</si>
  <si>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</si>
  <si>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</si>
  <si>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</si>
  <si>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</si>
  <si>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</si>
  <si>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</si>
  <si>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</si>
  <si>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</si>
  <si>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</si>
  <si>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</si>
  <si>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</si>
  <si>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</si>
  <si>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</si>
  <si>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</si>
  <si>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</si>
  <si>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</si>
  <si>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</si>
  <si>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</si>
  <si>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</si>
  <si>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</si>
  <si>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</si>
  <si>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</si>
  <si>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</si>
  <si>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</si>
  <si>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</si>
  <si>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</si>
  <si>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</si>
  <si>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</si>
  <si>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</si>
  <si>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</si>
  <si>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</si>
  <si>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</si>
  <si>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</si>
  <si>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</si>
  <si>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</si>
  <si>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</si>
  <si>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</si>
  <si>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</si>
  <si>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</si>
  <si>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</si>
  <si>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</si>
  <si>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</si>
  <si>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</si>
  <si>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</si>
  <si>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</si>
  <si>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</si>
  <si>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</si>
  <si>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</si>
  <si>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</si>
  <si>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</si>
  <si>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</si>
  <si>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</si>
  <si>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</si>
  <si>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</si>
  <si>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</si>
  <si>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</si>
  <si>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</si>
  <si>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</si>
  <si>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</si>
  <si>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</si>
  <si>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</si>
  <si>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</si>
  <si>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</si>
  <si>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</si>
  <si>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</si>
  <si>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</si>
  <si>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</si>
  <si>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</si>
  <si>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</si>
  <si>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</si>
  <si>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</si>
  <si>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</si>
  <si>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</si>
  <si>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</si>
  <si>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</si>
  <si>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</si>
  <si>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</si>
  <si>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</si>
  <si>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</si>
  <si>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</si>
  <si>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</si>
  <si>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</si>
  <si>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</si>
  <si>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</si>
  <si>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</si>
  <si>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</si>
  <si>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</si>
  <si>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</si>
  <si>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</si>
  <si>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</si>
  <si>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</si>
  <si>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</si>
  <si>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</si>
  <si>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</si>
  <si>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</si>
  <si>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</si>
  <si>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</si>
  <si>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</si>
  <si>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</si>
  <si>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</si>
  <si>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</si>
  <si>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</si>
  <si>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</si>
  <si>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</si>
  <si>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</si>
  <si>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</si>
  <si>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</si>
  <si>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</si>
  <si>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</si>
  <si>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</si>
  <si>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</si>
  <si>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</si>
  <si>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</si>
  <si>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</si>
  <si>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</si>
  <si>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</si>
  <si>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</si>
  <si>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</si>
  <si>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</si>
  <si>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</si>
  <si>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</si>
  <si>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</si>
  <si>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</si>
  <si>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</si>
  <si>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</si>
  <si>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</si>
  <si>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</si>
  <si>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</si>
  <si>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</si>
  <si>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</si>
  <si>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</si>
  <si>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</si>
  <si>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</si>
  <si>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</si>
  <si>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</si>
  <si>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</si>
  <si>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</si>
  <si>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</si>
  <si>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</si>
  <si>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</si>
  <si>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</si>
  <si>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</si>
  <si>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</si>
  <si>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</si>
  <si>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</si>
  <si>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</si>
  <si>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</si>
  <si>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</si>
  <si>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</si>
  <si>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</si>
  <si>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</si>
  <si>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</si>
  <si>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</si>
  <si>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</si>
  <si>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</si>
  <si>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</si>
  <si>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</si>
  <si>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</si>
  <si>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</si>
  <si>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</si>
  <si>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</si>
  <si>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</si>
  <si>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</si>
  <si>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</si>
  <si>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</si>
  <si>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</si>
  <si>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</si>
  <si>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</si>
  <si>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</si>
  <si>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</si>
  <si>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</si>
  <si>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</si>
  <si>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</si>
  <si>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</si>
  <si>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</si>
  <si>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</si>
  <si>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</si>
  <si>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</si>
  <si>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</si>
  <si>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</si>
  <si>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</si>
  <si>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</si>
  <si>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</si>
  <si>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</si>
  <si>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</si>
  <si>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</si>
  <si>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</si>
  <si>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</si>
  <si>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</si>
  <si>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</si>
  <si>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</si>
  <si>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</si>
  <si>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</si>
  <si>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</si>
  <si>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</si>
  <si>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</si>
  <si>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</si>
  <si>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</si>
  <si>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</si>
  <si>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</si>
  <si>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</si>
  <si>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</si>
  <si>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</si>
  <si>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</si>
  <si>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</si>
  <si>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</si>
  <si>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</si>
  <si>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</si>
  <si>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</si>
  <si>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</si>
  <si>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</si>
  <si>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</si>
  <si>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</si>
  <si>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</si>
  <si>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</si>
  <si>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</si>
  <si>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</si>
  <si>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</si>
  <si>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</si>
  <si>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</si>
  <si>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</si>
  <si>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</si>
  <si>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</si>
  <si>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</si>
  <si>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</si>
  <si>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</si>
  <si>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</si>
  <si>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</si>
  <si>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</si>
  <si>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</si>
  <si>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</si>
  <si>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</si>
  <si>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</si>
  <si>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</si>
  <si>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</si>
  <si>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</si>
  <si>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</si>
  <si>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</si>
  <si>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</si>
  <si>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</si>
  <si>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</si>
  <si>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</si>
  <si>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</si>
  <si>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</si>
  <si>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</si>
  <si>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</si>
  <si>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</si>
  <si>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</si>
  <si>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</si>
  <si>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</si>
  <si>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</si>
  <si>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</si>
  <si>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</si>
  <si>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</si>
  <si>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</si>
  <si>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</si>
  <si>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</si>
  <si>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</si>
  <si>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</si>
  <si>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</si>
  <si>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</si>
  <si>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</si>
  <si>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</si>
  <si>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</si>
  <si>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</si>
  <si>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</si>
  <si>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</si>
  <si>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</si>
  <si>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</si>
  <si>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</si>
  <si>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</si>
  <si>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</si>
  <si>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</si>
  <si>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</si>
  <si>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</si>
  <si>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</si>
  <si>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</si>
  <si>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</si>
  <si>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</si>
  <si>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</si>
  <si>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</si>
  <si>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</si>
  <si>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</si>
  <si>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</si>
  <si>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</si>
  <si>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</si>
  <si>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</si>
  <si>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</si>
  <si>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</si>
  <si>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</si>
  <si>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</si>
  <si>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</si>
  <si>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</si>
  <si>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</si>
  <si>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</si>
  <si>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</si>
  <si>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</si>
  <si>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</si>
  <si>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</si>
  <si>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</si>
  <si>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</si>
  <si>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</si>
  <si>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</si>
  <si>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</si>
  <si>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</si>
  <si>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</si>
  <si>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</si>
  <si>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</si>
  <si>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</si>
  <si>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</si>
  <si>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</si>
  <si>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</si>
  <si>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</si>
  <si>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</si>
  <si>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</si>
  <si>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</si>
  <si>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</si>
  <si>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</si>
  <si>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</si>
  <si>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</si>
  <si>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</si>
  <si>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</si>
  <si>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</si>
  <si>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</si>
  <si>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</si>
  <si>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</si>
  <si>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</si>
  <si>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</si>
  <si>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</si>
  <si>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</si>
  <si>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</si>
  <si>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</si>
  <si>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</si>
  <si>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</si>
  <si>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</si>
  <si>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</si>
  <si>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</si>
  <si>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</si>
  <si>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</si>
  <si>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</si>
  <si>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</si>
  <si>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</si>
  <si>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</si>
  <si>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</si>
  <si>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</si>
  <si>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</si>
  <si>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</si>
  <si>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</si>
  <si>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</si>
  <si>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</si>
  <si>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</si>
  <si>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</si>
  <si>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</si>
  <si>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</si>
  <si>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</si>
  <si>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</si>
  <si>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</si>
  <si>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</si>
  <si>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</si>
  <si>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</si>
  <si>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</si>
  <si>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</si>
  <si>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</si>
  <si>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</si>
  <si>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</si>
  <si>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</si>
  <si>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</si>
  <si>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</si>
  <si>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</si>
  <si>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</si>
  <si>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</si>
  <si>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</si>
  <si>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</si>
  <si>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</si>
  <si>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</si>
  <si>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</si>
  <si>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</si>
  <si>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</si>
  <si>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</si>
  <si>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</si>
  <si>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</si>
  <si>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</si>
  <si>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</si>
  <si>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</si>
  <si>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</si>
  <si>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</si>
  <si>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</si>
  <si>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</si>
  <si>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</si>
  <si>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</si>
  <si>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</si>
  <si>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</si>
  <si>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</si>
  <si>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</si>
  <si>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</si>
  <si>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</si>
  <si>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</si>
  <si>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</si>
  <si>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</si>
  <si>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</si>
  <si>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</si>
  <si>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</si>
  <si>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</si>
  <si>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</si>
  <si>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</si>
  <si>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</si>
  <si>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</si>
  <si>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</si>
  <si>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</si>
  <si>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</si>
  <si>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</si>
  <si>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</si>
  <si>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</si>
  <si>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</si>
  <si>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</si>
  <si>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</si>
  <si>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</si>
  <si>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</si>
  <si>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</si>
  <si>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</si>
  <si>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</si>
  <si>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</si>
  <si>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</si>
  <si>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</si>
  <si>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</si>
  <si>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</si>
  <si>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</si>
  <si>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</si>
  <si>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</si>
  <si>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</si>
  <si>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</si>
  <si>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</si>
  <si>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</si>
  <si>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</si>
  <si>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</si>
  <si>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</si>
  <si>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</si>
  <si>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</si>
  <si>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</si>
  <si>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</si>
  <si>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</si>
  <si>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</si>
  <si>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</si>
  <si>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</si>
  <si>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</si>
  <si>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</si>
  <si>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</si>
  <si>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</si>
  <si>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</si>
  <si>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</si>
  <si>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</si>
  <si>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</si>
  <si>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</si>
  <si>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</si>
  <si>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</si>
  <si>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</si>
  <si>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</si>
  <si>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</si>
  <si>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</si>
  <si>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</si>
  <si>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</si>
  <si>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</si>
  <si>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</si>
  <si>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</si>
  <si>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</si>
  <si>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</si>
  <si>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</si>
  <si>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</si>
  <si>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</si>
  <si>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</si>
  <si>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</si>
  <si>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</si>
  <si>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</si>
  <si>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</si>
  <si>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</si>
  <si>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</si>
  <si>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</si>
  <si>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</si>
  <si>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</si>
  <si>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</si>
  <si>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</si>
  <si>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</si>
  <si>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</si>
  <si>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</si>
  <si>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</si>
  <si>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</si>
  <si>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</si>
  <si>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</si>
  <si>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</si>
  <si>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</si>
  <si>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</si>
  <si>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</si>
  <si>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</si>
  <si>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</si>
  <si>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</si>
  <si>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</si>
  <si>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</si>
  <si>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</si>
  <si>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</si>
  <si>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</si>
  <si>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</si>
  <si>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</si>
  <si>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</si>
  <si>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</si>
  <si>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</si>
  <si>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</si>
  <si>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</si>
  <si>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</si>
  <si>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</si>
  <si>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</si>
  <si>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</si>
  <si>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</si>
  <si>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</si>
  <si>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</si>
  <si>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</si>
  <si>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</si>
  <si>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</si>
  <si>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</si>
  <si>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</si>
  <si>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</si>
  <si>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</si>
  <si>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</si>
  <si>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</si>
  <si>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</si>
  <si>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</si>
  <si>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</si>
  <si>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</si>
  <si>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</si>
  <si>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</si>
  <si>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</si>
  <si>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</si>
  <si>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</si>
  <si>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</si>
  <si>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</si>
  <si>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</si>
  <si>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</si>
  <si>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</si>
  <si>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</si>
  <si>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</si>
  <si>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</si>
  <si>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</si>
  <si>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</si>
  <si>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</si>
  <si>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</si>
  <si>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</si>
  <si>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</si>
  <si>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</si>
  <si>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</si>
  <si>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</si>
  <si>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</si>
  <si>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</si>
  <si>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</si>
  <si>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</si>
  <si>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</si>
  <si>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</si>
  <si>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</si>
  <si>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</si>
  <si>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</si>
  <si>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</si>
  <si>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</si>
  <si>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</si>
  <si>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</si>
  <si>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</si>
  <si>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</si>
  <si>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</si>
  <si>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</si>
  <si>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</si>
  <si>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</si>
  <si>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</si>
  <si>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</si>
  <si>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</si>
  <si>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</si>
  <si>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</si>
  <si>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</si>
  <si>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</si>
  <si>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</si>
  <si>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</si>
  <si>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</si>
  <si>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</si>
  <si>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</si>
  <si>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</si>
  <si>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</si>
  <si>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</si>
  <si>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</si>
  <si>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</si>
  <si>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</si>
  <si>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</si>
  <si>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</si>
  <si>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</si>
  <si>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</si>
  <si>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</si>
  <si>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</si>
  <si>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</si>
  <si>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</si>
  <si>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</si>
  <si>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</si>
  <si>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</si>
  <si>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</si>
  <si>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</si>
  <si>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</si>
  <si>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</si>
  <si>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</si>
  <si>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</si>
  <si>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</si>
  <si>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</si>
  <si>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</si>
  <si>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</si>
  <si>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</si>
  <si>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</si>
  <si>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</si>
  <si>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</si>
  <si>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</si>
  <si>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</si>
  <si>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</si>
  <si>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</si>
  <si>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</si>
  <si>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</si>
  <si>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</si>
  <si>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</si>
  <si>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</si>
  <si>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</si>
  <si>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</si>
  <si>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</si>
  <si>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</si>
  <si>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</si>
  <si>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</si>
  <si>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</si>
  <si>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</si>
  <si>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</si>
  <si>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</si>
  <si>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</si>
  <si>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</si>
  <si>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</si>
  <si>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</si>
  <si>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</si>
  <si>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</si>
  <si>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</si>
  <si>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</si>
  <si>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</si>
  <si>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</si>
  <si>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</si>
  <si>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</si>
  <si>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</si>
  <si>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</si>
  <si>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</si>
  <si>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</si>
  <si>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</si>
  <si>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</si>
  <si>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</si>
  <si>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</si>
  <si>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</si>
  <si>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</si>
  <si>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</si>
  <si>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</si>
  <si>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</si>
  <si>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</si>
  <si>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</si>
  <si>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</si>
  <si>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</si>
  <si>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</si>
  <si>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</si>
  <si>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</si>
  <si>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</si>
  <si>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</si>
  <si>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</si>
  <si>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</si>
  <si>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</si>
  <si>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</si>
  <si>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</si>
  <si>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</si>
  <si>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</si>
  <si>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</si>
  <si>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</si>
  <si>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</si>
  <si>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</si>
  <si>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</si>
  <si>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</si>
  <si>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</si>
  <si>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</si>
  <si>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</si>
  <si>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</si>
  <si>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</si>
  <si>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</si>
  <si>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</si>
  <si>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</si>
  <si>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</si>
  <si>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</si>
  <si>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</si>
  <si>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</si>
  <si>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</si>
  <si>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</si>
  <si>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</si>
  <si>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</si>
  <si>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</si>
  <si>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</si>
  <si>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</si>
  <si>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</si>
  <si>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</si>
  <si>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</si>
  <si>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</si>
  <si>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</si>
  <si>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</si>
  <si>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</si>
  <si>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</si>
  <si>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</si>
  <si>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</si>
  <si>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</si>
  <si>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</si>
  <si>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</si>
  <si>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</si>
  <si>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</si>
  <si>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</si>
  <si>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</si>
  <si>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</si>
  <si>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</si>
  <si>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</si>
  <si>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</si>
  <si>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</si>
  <si>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</si>
  <si>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</si>
  <si>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</si>
  <si>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</si>
  <si>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</si>
  <si>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</si>
  <si>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</si>
  <si>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</si>
  <si>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</si>
  <si>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</si>
  <si>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</si>
  <si>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</si>
  <si>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</si>
  <si>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</si>
  <si>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</si>
  <si>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</si>
  <si>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</si>
  <si>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</si>
  <si>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</si>
  <si>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</si>
  <si>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</si>
  <si>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</si>
  <si>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</si>
  <si>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</si>
  <si>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</si>
  <si>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</si>
  <si>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</si>
  <si>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</si>
  <si>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</si>
  <si>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</si>
  <si>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</si>
  <si>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</si>
  <si>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</si>
  <si>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</si>
  <si>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</si>
  <si>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</si>
  <si>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</si>
  <si>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</si>
  <si>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</si>
  <si>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</si>
  <si>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</si>
  <si>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</si>
  <si>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</si>
  <si>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</si>
  <si>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</si>
  <si>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</si>
  <si>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</si>
  <si>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</si>
  <si>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</si>
  <si>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</si>
  <si>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</si>
  <si>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</si>
  <si>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</si>
  <si>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</si>
  <si>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</si>
  <si>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</si>
  <si>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</si>
  <si>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</si>
  <si>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</si>
  <si>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</si>
  <si>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</si>
  <si>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</si>
  <si>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</si>
  <si>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</si>
  <si>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</si>
  <si>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</si>
  <si>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</si>
  <si>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</si>
  <si>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</si>
  <si>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</si>
  <si>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</si>
  <si>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</si>
  <si>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</si>
  <si>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</si>
  <si>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</si>
  <si>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</si>
  <si>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</si>
  <si>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</si>
  <si>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</si>
  <si>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</si>
  <si>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</si>
  <si>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</si>
  <si>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</si>
  <si>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</si>
  <si>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</si>
  <si>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</si>
  <si>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</si>
  <si>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</si>
  <si>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</si>
  <si>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</si>
  <si>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</si>
  <si>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</si>
  <si>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</si>
  <si>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</si>
  <si>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</si>
  <si>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</si>
  <si>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</si>
  <si>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</si>
  <si>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</si>
  <si>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</si>
  <si>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</si>
  <si>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</si>
  <si>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</si>
  <si>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</si>
  <si>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</si>
  <si>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</si>
  <si>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</si>
  <si>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</si>
  <si>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</si>
  <si>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</si>
  <si>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</si>
  <si>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</si>
  <si>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</si>
  <si>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</si>
  <si>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</si>
  <si>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</si>
  <si>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</si>
  <si>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</si>
  <si>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</si>
  <si>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</si>
  <si>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</si>
  <si>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</si>
  <si>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</si>
  <si>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</si>
  <si>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</si>
  <si>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</si>
  <si>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</si>
  <si>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</si>
  <si>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</si>
  <si>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</si>
  <si>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</si>
  <si>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</si>
  <si>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</si>
  <si>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</si>
  <si>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</si>
  <si>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</si>
  <si>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</si>
  <si>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</si>
  <si>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</si>
  <si>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</si>
  <si>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</si>
  <si>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</si>
  <si>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</si>
  <si>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</si>
  <si>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</si>
  <si>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</si>
  <si>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</si>
  <si>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</si>
  <si>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</si>
  <si>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</si>
  <si>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</si>
  <si>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</si>
  <si>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</si>
  <si>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</si>
  <si>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</si>
  <si>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</si>
  <si>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</si>
  <si>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</si>
  <si>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</si>
  <si>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</si>
  <si>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</si>
  <si>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</si>
  <si>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</si>
  <si>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</si>
  <si>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</si>
  <si>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</si>
  <si>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</si>
  <si>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</si>
  <si>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</si>
  <si>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</si>
  <si>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</si>
  <si>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</si>
  <si>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</si>
  <si>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</si>
  <si>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</si>
  <si>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</si>
  <si>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</si>
  <si>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</si>
  <si>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</si>
  <si>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</si>
  <si>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</si>
  <si>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</si>
  <si>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</si>
  <si>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</si>
  <si>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</si>
  <si>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</si>
  <si>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</si>
  <si>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</si>
  <si>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</si>
  <si>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</si>
  <si>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</si>
  <si>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</si>
  <si>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</si>
  <si>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</si>
  <si>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</si>
  <si>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</si>
  <si>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</si>
  <si>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</si>
  <si>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</si>
  <si>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</si>
  <si>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</si>
  <si>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</si>
  <si>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</si>
  <si>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</si>
  <si>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</si>
  <si>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</si>
  <si>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</si>
  <si>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</si>
  <si>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</si>
  <si>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</si>
  <si>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</si>
  <si>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</si>
  <si>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</si>
  <si>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</si>
  <si>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</si>
  <si>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</si>
  <si>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</si>
  <si>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</si>
  <si>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</si>
  <si>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</si>
  <si>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</si>
  <si>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</si>
  <si>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</si>
  <si>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</si>
  <si>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</si>
  <si>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</si>
  <si>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</si>
  <si>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</si>
  <si>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</si>
  <si>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</si>
  <si>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</si>
  <si>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</si>
  <si>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</si>
  <si>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</si>
  <si>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</si>
  <si>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</si>
  <si>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</si>
  <si>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</si>
  <si>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</si>
  <si>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</si>
  <si>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</si>
  <si>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</si>
  <si>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</si>
  <si>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</si>
  <si>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</si>
  <si>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</si>
  <si>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</si>
  <si>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</si>
  <si>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</si>
  <si>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</si>
  <si>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</si>
  <si>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</si>
  <si>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</si>
  <si>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</si>
  <si>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</si>
  <si>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</si>
  <si>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</si>
  <si>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</si>
  <si>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</si>
  <si>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</si>
  <si>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</si>
  <si>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</si>
  <si>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</si>
  <si>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</si>
  <si>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</si>
  <si>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</si>
  <si>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</si>
  <si>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</si>
  <si>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</si>
  <si>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</si>
  <si>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</si>
  <si>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</si>
  <si>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</si>
  <si>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</si>
  <si>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</si>
  <si>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</si>
  <si>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</si>
  <si>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</si>
  <si>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</si>
  <si>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</si>
  <si>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</si>
  <si>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</si>
  <si>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</si>
  <si>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</si>
  <si>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</si>
  <si>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</si>
  <si>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</si>
  <si>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</si>
  <si>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</si>
  <si>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</si>
  <si>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</si>
  <si>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</si>
  <si>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</si>
  <si>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</si>
  <si>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</si>
  <si>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</si>
  <si>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</si>
  <si>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</si>
  <si>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</si>
  <si>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</si>
  <si>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</si>
  <si>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</si>
  <si>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</si>
  <si>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</si>
  <si>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</si>
  <si>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</si>
  <si>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</si>
  <si>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</si>
  <si>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</si>
  <si>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</si>
  <si>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</si>
  <si>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</si>
  <si>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</si>
  <si>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</si>
  <si>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</si>
  <si>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</si>
  <si>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</si>
  <si>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</si>
  <si>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</si>
  <si>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</si>
  <si>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</si>
  <si>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</si>
  <si>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</si>
  <si>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</si>
  <si>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</si>
  <si>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</si>
  <si>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</si>
  <si>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</si>
  <si>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</si>
  <si>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</si>
  <si>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</si>
  <si>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</si>
  <si>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</si>
  <si>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</si>
  <si>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</si>
  <si>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</si>
  <si>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</si>
  <si>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</si>
  <si>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</si>
  <si>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</si>
  <si>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</si>
  <si>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</si>
  <si>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</si>
  <si>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</si>
  <si>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</si>
  <si>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</si>
  <si>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</si>
  <si>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</si>
  <si>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</si>
  <si>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</si>
  <si>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</si>
  <si>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</si>
  <si>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</si>
  <si>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</si>
  <si>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</si>
  <si>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</si>
  <si>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</si>
  <si>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</si>
  <si>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</si>
  <si>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</si>
  <si>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</si>
  <si>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</si>
  <si>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</si>
  <si>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</si>
  <si>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</si>
  <si>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</si>
  <si>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</si>
  <si>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</si>
  <si>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</si>
  <si>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</si>
  <si>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</si>
  <si>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</si>
  <si>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</si>
  <si>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</si>
  <si>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</si>
  <si>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</si>
  <si>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</si>
  <si>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</si>
  <si>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</si>
  <si>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</si>
  <si>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</si>
  <si>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</si>
  <si>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</si>
  <si>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</si>
  <si>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</si>
  <si>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</si>
  <si>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</si>
  <si>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</si>
  <si>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</si>
  <si>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</si>
  <si>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</si>
  <si>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</si>
  <si>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</si>
  <si>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</si>
  <si>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</si>
  <si>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</si>
  <si>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</si>
  <si>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</si>
  <si>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</si>
  <si>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</si>
  <si>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</si>
  <si>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</si>
  <si>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</si>
  <si>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</si>
  <si>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</si>
  <si>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</si>
  <si>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</si>
  <si>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</si>
  <si>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</si>
  <si>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</si>
  <si>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</si>
  <si>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</si>
  <si>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</si>
  <si>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</si>
  <si>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</si>
  <si>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</si>
  <si>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</si>
  <si>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</si>
  <si>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</si>
  <si>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</si>
  <si>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</si>
  <si>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</si>
  <si>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</si>
  <si>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</si>
  <si>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</si>
  <si>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</si>
  <si>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</si>
  <si>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</si>
  <si>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</si>
  <si>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</si>
  <si>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</si>
  <si>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</si>
  <si>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</si>
  <si>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</si>
  <si>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</si>
  <si>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</si>
  <si>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</si>
  <si>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</si>
  <si>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</si>
  <si>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</si>
  <si>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</si>
  <si>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</si>
  <si>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</si>
  <si>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</si>
  <si>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</si>
  <si>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</si>
  <si>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</si>
  <si>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</si>
  <si>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</si>
  <si>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</si>
  <si>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</si>
  <si>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</si>
  <si>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</si>
  <si>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</si>
  <si>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</si>
  <si>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</si>
  <si>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</si>
  <si>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</si>
  <si>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</si>
  <si>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</si>
  <si>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</si>
  <si>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</si>
  <si>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</si>
  <si>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</si>
  <si>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</si>
  <si>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</si>
  <si>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</si>
  <si>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</si>
  <si>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</si>
  <si>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</si>
  <si>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</si>
  <si>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</si>
  <si>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</si>
  <si>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</si>
  <si>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</si>
  <si>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</si>
  <si>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</si>
  <si>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</si>
  <si>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</si>
  <si>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</si>
  <si>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</si>
  <si>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</si>
  <si>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</si>
  <si>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</si>
  <si>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</si>
  <si>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</si>
  <si>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</si>
  <si>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</si>
  <si>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</si>
  <si>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</si>
  <si>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</si>
  <si>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</si>
  <si>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</si>
  <si>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</si>
  <si>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</si>
  <si>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</si>
  <si>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</si>
  <si>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</si>
  <si>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</si>
  <si>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</si>
  <si>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</si>
  <si>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</si>
  <si>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</si>
  <si>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</si>
  <si>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</si>
  <si>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</si>
  <si>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</si>
  <si>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</si>
  <si>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</si>
  <si>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</si>
  <si>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</si>
  <si>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</si>
  <si>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</si>
  <si>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</si>
  <si>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</si>
  <si>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</si>
  <si>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</si>
  <si>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</si>
  <si>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</si>
  <si>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</si>
  <si>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</si>
  <si>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</si>
  <si>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</si>
  <si>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</si>
  <si>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</si>
  <si>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</si>
  <si>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</si>
  <si>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</si>
  <si>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</si>
  <si>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</si>
  <si>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</si>
  <si>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</si>
  <si>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</si>
  <si>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</si>
  <si>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</si>
  <si>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</si>
  <si>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</si>
  <si>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</si>
  <si>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</si>
  <si>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</si>
  <si>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</si>
  <si>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</si>
  <si>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</si>
  <si>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</si>
  <si>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</si>
  <si>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</si>
  <si>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</si>
  <si>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</si>
  <si>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</si>
  <si>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</si>
  <si>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</si>
  <si>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</si>
  <si>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</si>
  <si>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</si>
  <si>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</si>
  <si>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</si>
  <si>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</si>
  <si>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</si>
  <si>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</si>
  <si>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</si>
  <si>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</si>
  <si>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</si>
  <si>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</si>
  <si>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</si>
  <si>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</si>
  <si>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</si>
  <si>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</si>
  <si>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</si>
  <si>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</si>
  <si>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</si>
  <si>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</si>
  <si>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</si>
  <si>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</si>
  <si>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</si>
  <si>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</si>
  <si>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</si>
  <si>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</si>
  <si>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</si>
  <si>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</si>
  <si>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</si>
  <si>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</si>
  <si>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</si>
  <si>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</si>
  <si>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</si>
  <si>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</si>
  <si>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</si>
  <si>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</si>
  <si>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</si>
  <si>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</si>
  <si>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</si>
  <si>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</si>
  <si>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</si>
  <si>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</si>
  <si>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</si>
  <si>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</si>
  <si>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</si>
  <si>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</si>
  <si>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</si>
  <si>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</si>
  <si>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</si>
  <si>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</si>
  <si>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</si>
  <si>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</si>
  <si>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</si>
  <si>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</si>
  <si>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</si>
  <si>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</si>
  <si>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</si>
  <si>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</si>
  <si>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</si>
  <si>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</si>
  <si>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</si>
  <si>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</si>
  <si>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</si>
  <si>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</si>
  <si>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</si>
  <si>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</si>
  <si>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</si>
  <si>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</si>
  <si>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</si>
  <si>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</si>
  <si>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</si>
  <si>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</si>
  <si>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</si>
  <si>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</si>
  <si>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</si>
  <si>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</si>
  <si>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</si>
  <si>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</si>
  <si>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</si>
  <si>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</si>
  <si>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</si>
  <si>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</si>
  <si>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</si>
  <si>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</si>
  <si>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</si>
  <si>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</si>
  <si>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</si>
  <si>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</si>
  <si>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</si>
  <si>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</si>
  <si>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</si>
  <si>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</si>
  <si>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</si>
  <si>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</si>
  <si>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</si>
  <si>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</si>
  <si>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</si>
  <si>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</si>
  <si>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</si>
  <si>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</si>
  <si>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</si>
  <si>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</si>
  <si>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</si>
  <si>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</si>
  <si>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</si>
  <si>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</si>
  <si>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</si>
  <si>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</si>
  <si>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</si>
  <si>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</si>
  <si>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</si>
  <si>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</si>
  <si>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</si>
  <si>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</si>
  <si>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</si>
  <si>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</si>
  <si>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</si>
  <si>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</si>
  <si>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</si>
  <si>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</si>
  <si>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</si>
  <si>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</si>
  <si>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</si>
  <si>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</si>
  <si>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</si>
  <si>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</si>
  <si>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</si>
  <si>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</si>
  <si>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</si>
  <si>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</si>
  <si>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</si>
  <si>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</si>
  <si>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</si>
  <si>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</si>
  <si>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</si>
  <si>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</si>
  <si>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</si>
  <si>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</si>
  <si>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</si>
  <si>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</si>
  <si>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</si>
  <si>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</si>
  <si>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</si>
  <si>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</si>
  <si>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</si>
  <si>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</si>
  <si>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</si>
  <si>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</si>
  <si>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</si>
  <si>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</si>
  <si>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</si>
  <si>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</si>
  <si>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</si>
  <si>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</si>
  <si>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</si>
  <si>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</si>
  <si>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</si>
  <si>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</si>
  <si>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</si>
  <si>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</si>
  <si>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</si>
  <si>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</si>
  <si>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</si>
  <si>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</si>
  <si>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</si>
  <si>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</si>
  <si>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</si>
  <si>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</si>
  <si>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</si>
  <si>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</si>
  <si>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</si>
  <si>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</si>
  <si>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</si>
  <si>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</si>
  <si>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</si>
  <si>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</si>
  <si>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</si>
  <si>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</si>
  <si>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</si>
  <si>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</si>
  <si>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</si>
  <si>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</si>
  <si>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</si>
  <si>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</si>
  <si>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</si>
  <si>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</si>
  <si>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</si>
  <si>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</si>
  <si>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</si>
  <si>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</si>
  <si>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</si>
  <si>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</si>
  <si>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</si>
  <si>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</si>
  <si>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</si>
  <si>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</si>
  <si>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</si>
  <si>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</si>
  <si>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</si>
  <si>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</si>
  <si>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</si>
  <si>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</si>
  <si>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</si>
  <si>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</si>
  <si>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</si>
  <si>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</si>
  <si>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</si>
  <si>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</si>
  <si>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</si>
  <si>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</si>
  <si>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</si>
  <si>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</si>
  <si>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</si>
  <si>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</si>
  <si>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</si>
  <si>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</si>
  <si>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</si>
  <si>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</si>
  <si>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</si>
  <si>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</si>
  <si>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</si>
  <si>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</si>
  <si>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</si>
  <si>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</si>
  <si>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</si>
  <si>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</si>
  <si>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</si>
  <si>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</si>
  <si>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</si>
  <si>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</si>
  <si>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</si>
  <si>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</si>
  <si>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</si>
  <si>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</si>
  <si>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</si>
  <si>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</si>
  <si>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</si>
  <si>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</si>
  <si>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</si>
  <si>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</si>
  <si>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</si>
  <si>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</si>
  <si>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</si>
  <si>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</si>
  <si>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</si>
  <si>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</si>
  <si>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</si>
  <si>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</si>
  <si>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</si>
  <si>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</si>
  <si>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</si>
  <si>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</si>
  <si>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</si>
  <si>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</si>
  <si>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</si>
  <si>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</si>
  <si>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</si>
  <si>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</si>
  <si>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</si>
  <si>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</si>
  <si>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</si>
  <si>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</si>
  <si>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</si>
  <si>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</si>
  <si>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</si>
  <si>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</si>
  <si>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</si>
  <si>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</si>
  <si>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</si>
  <si>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</si>
  <si>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</si>
  <si>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</si>
  <si>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</si>
  <si>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</si>
  <si>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</si>
  <si>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</si>
  <si>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</si>
  <si>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</si>
  <si>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</si>
  <si>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</si>
  <si>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</si>
  <si>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</si>
  <si>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</si>
  <si>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</si>
  <si>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</si>
  <si>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</si>
  <si>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</si>
  <si>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</si>
  <si>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</si>
  <si>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</si>
  <si>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</si>
  <si>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</si>
  <si>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</si>
  <si>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</si>
  <si>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</si>
  <si>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</si>
  <si>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</si>
  <si>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</si>
  <si>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</si>
  <si>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</si>
  <si>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</si>
  <si>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</si>
  <si>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</si>
  <si>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</si>
  <si>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</si>
  <si>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</si>
  <si>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</si>
  <si>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</si>
  <si>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</si>
  <si>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</si>
  <si>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</si>
  <si>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</si>
  <si>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</si>
  <si>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</si>
  <si>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</si>
  <si>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</si>
  <si>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</si>
  <si>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</si>
  <si>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</si>
  <si>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</si>
  <si>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</si>
  <si>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</si>
  <si>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</si>
  <si>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</si>
  <si>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</si>
  <si>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</si>
  <si>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</si>
  <si>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</si>
  <si>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</si>
  <si>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</si>
  <si>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</si>
  <si>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</si>
  <si>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</si>
  <si>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</si>
  <si>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</si>
  <si>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</si>
  <si>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</si>
  <si>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</si>
  <si>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</si>
  <si>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</si>
  <si>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</si>
  <si>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</si>
  <si>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</si>
  <si>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</si>
  <si>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</si>
  <si>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</si>
  <si>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</si>
  <si>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</si>
  <si>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</si>
  <si>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</si>
  <si>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</si>
  <si>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</si>
  <si>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</si>
  <si>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</si>
  <si>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</si>
  <si>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</si>
  <si>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</si>
  <si>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</si>
  <si>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</si>
  <si>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</si>
  <si>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</si>
  <si>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</si>
  <si>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</si>
  <si>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</si>
  <si>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</si>
  <si>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</si>
  <si>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</si>
  <si>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</si>
  <si>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</si>
  <si>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</si>
  <si>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</si>
  <si>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</si>
  <si>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</si>
  <si>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</si>
  <si>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</si>
  <si>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</si>
  <si>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</si>
  <si>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2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</si>
  <si>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</si>
  <si>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2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</si>
  <si>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</si>
  <si>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</si>
  <si>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</si>
  <si>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</si>
  <si>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2" type="noConversion"/>
  </si>
  <si>
    <t>Longitude:</t>
    <phoneticPr fontId="12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</si>
  <si>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</si>
  <si>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</si>
  <si>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</si>
  <si>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</si>
  <si>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</si>
  <si>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</si>
  <si>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</si>
  <si>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2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</si>
  <si>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</si>
  <si>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</si>
  <si>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</si>
  <si>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</si>
  <si>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</si>
  <si>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2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</si>
  <si>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</si>
  <si>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</si>
  <si>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</si>
  <si>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</si>
  <si>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</si>
  <si>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</si>
  <si>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</si>
  <si>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</si>
  <si>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</si>
  <si>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</si>
  <si>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</si>
  <si>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</si>
  <si>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</si>
  <si>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</si>
  <si>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</si>
  <si>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</si>
  <si>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</si>
  <si>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</si>
  <si>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</si>
  <si>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</si>
  <si>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</si>
  <si>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</si>
  <si>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</si>
  <si>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</si>
  <si>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</si>
  <si>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</si>
  <si>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</si>
  <si>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</si>
  <si>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</si>
  <si>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</si>
  <si>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</si>
  <si>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</si>
  <si>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</si>
  <si>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</si>
  <si>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</si>
  <si>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</si>
  <si>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</si>
  <si>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</si>
  <si>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</si>
  <si>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</si>
  <si>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</si>
  <si>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</si>
  <si>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</si>
  <si>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</si>
  <si>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</si>
  <si>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</si>
  <si>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</si>
  <si>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</si>
  <si>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</si>
  <si>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</si>
  <si>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</si>
  <si>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</si>
  <si>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</si>
  <si>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</si>
  <si>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</si>
  <si>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</si>
  <si>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</si>
  <si>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</si>
  <si>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</si>
  <si>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</si>
  <si>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</si>
  <si>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LBRP Rel 7</t>
  </si>
  <si>
    <t>Lonicera reticulata</t>
  </si>
  <si>
    <t>Exotic honeysuckle spp.</t>
  </si>
  <si>
    <t>Carex sp. 2</t>
  </si>
  <si>
    <t>Carex sp. 3</t>
  </si>
  <si>
    <t>Unknown grass 1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</si>
  <si>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</si>
  <si>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</si>
  <si>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</si>
  <si>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</si>
  <si>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</si>
  <si>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</si>
  <si>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</si>
  <si>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</si>
  <si>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</si>
  <si>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</si>
  <si>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</si>
  <si>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</si>
  <si>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</si>
  <si>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</si>
  <si>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</si>
  <si>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</si>
  <si>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</si>
  <si>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</si>
  <si>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</si>
  <si>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</si>
  <si>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</si>
  <si>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</si>
  <si>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</si>
  <si>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</si>
  <si>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</si>
  <si>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</si>
  <si>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</si>
  <si>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</si>
  <si>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</si>
  <si>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</si>
  <si>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</si>
  <si>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</si>
  <si>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</si>
  <si>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</si>
  <si>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</si>
  <si>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</si>
  <si>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</si>
  <si>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</si>
  <si>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</si>
  <si>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</si>
  <si>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</si>
  <si>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</si>
  <si>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</si>
  <si>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</si>
  <si>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</si>
  <si>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</si>
  <si>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</si>
  <si>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</si>
  <si>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</si>
  <si>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</si>
  <si>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</si>
  <si>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</si>
  <si>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</si>
  <si>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</si>
  <si>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</si>
  <si>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</si>
  <si>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</si>
  <si>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</si>
  <si>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</si>
  <si>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</si>
  <si>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</si>
  <si>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</si>
  <si>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</si>
  <si>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</si>
  <si>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</si>
  <si>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</si>
  <si>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LBRP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</si>
</sst>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15" fillId="0" borderId="0"/>
    <xf numFmtId="0" fontId="20" fillId="0" borderId="0" applyNumberFormat="0" applyFill="0" applyBorder="0" applyAlignment="0" applyProtection="0"/>
    <xf numFmtId="0" fontId="21" fillId="0" borderId="16" applyNumberFormat="0" applyFill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19" applyNumberFormat="0" applyAlignment="0" applyProtection="0"/>
    <xf numFmtId="0" fontId="28" fillId="6" borderId="20" applyNumberFormat="0" applyAlignment="0" applyProtection="0"/>
    <xf numFmtId="0" fontId="29" fillId="6" borderId="19" applyNumberFormat="0" applyAlignment="0" applyProtection="0"/>
    <xf numFmtId="0" fontId="30" fillId="0" borderId="21" applyNumberFormat="0" applyFill="0" applyAlignment="0" applyProtection="0"/>
    <xf numFmtId="0" fontId="31" fillId="7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4" applyNumberFormat="0" applyFill="0" applyAlignment="0" applyProtection="0"/>
    <xf numFmtId="0" fontId="35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35" fillId="32" borderId="0" applyNumberFormat="0" applyBorder="0" applyAlignment="0" applyProtection="0"/>
    <xf numFmtId="0" fontId="37" fillId="0" borderId="0"/>
    <xf numFmtId="0" fontId="15" fillId="0" borderId="0"/>
    <xf numFmtId="0" fontId="9" fillId="0" borderId="0"/>
    <xf numFmtId="0" fontId="9" fillId="8" borderId="23" applyNumberFormat="0" applyFont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42" fillId="0" borderId="0"/>
    <xf numFmtId="0" fontId="8" fillId="0" borderId="0"/>
    <xf numFmtId="0" fontId="8" fillId="8" borderId="23" applyNumberFormat="0" applyFont="0" applyAlignment="0" applyProtection="0"/>
    <xf numFmtId="0" fontId="15" fillId="0" borderId="0"/>
  </cellStyleXfs>
  <cellXfs count="152">
    <xf numFmtId="0" fontId="0" fillId="0" borderId="0" xfId="0"/>
    <xf numFmtId="0" fontId="10" fillId="0" borderId="0" xfId="0" applyFont="1"/>
    <xf numFmtId="0" fontId="13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1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5" fillId="0" borderId="0" xfId="0" applyFont="1"/>
    <xf numFmtId="0" fontId="15" fillId="0" borderId="0" xfId="1"/>
    <xf numFmtId="0" fontId="14" fillId="0" borderId="0" xfId="1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1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5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1" fillId="0" borderId="0" xfId="0" applyFont="1" applyFill="1" applyBorder="1" applyAlignment="1">
      <alignment horizontal="center"/>
    </xf>
    <xf numFmtId="14" fontId="15" fillId="0" borderId="0" xfId="0" applyNumberFormat="1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8" fillId="0" borderId="0" xfId="0" applyFont="1"/>
    <xf numFmtId="0" fontId="19" fillId="0" borderId="0" xfId="0" applyFont="1" applyAlignment="1">
      <alignment vertical="center"/>
    </xf>
    <xf numFmtId="0" fontId="15" fillId="0" borderId="0" xfId="0" applyFont="1" applyAlignment="1"/>
    <xf numFmtId="0" fontId="0" fillId="0" borderId="0" xfId="0" applyBorder="1"/>
    <xf numFmtId="0" fontId="10" fillId="0" borderId="15" xfId="0" applyFont="1" applyBorder="1"/>
    <xf numFmtId="0" fontId="0" fillId="0" borderId="0" xfId="0"/>
    <xf numFmtId="0" fontId="0" fillId="0" borderId="0" xfId="0"/>
    <xf numFmtId="0" fontId="36" fillId="0" borderId="25" xfId="0" applyFont="1" applyBorder="1"/>
    <xf numFmtId="0" fontId="36" fillId="0" borderId="25" xfId="0" applyFont="1" applyFill="1" applyBorder="1"/>
    <xf numFmtId="0" fontId="36" fillId="0" borderId="25" xfId="0" applyNumberFormat="1" applyFont="1" applyBorder="1"/>
    <xf numFmtId="0" fontId="37" fillId="0" borderId="0" xfId="0" applyFont="1" applyFill="1"/>
    <xf numFmtId="0" fontId="0" fillId="0" borderId="0" xfId="0" quotePrefix="1" applyNumberFormat="1"/>
    <xf numFmtId="0" fontId="37" fillId="0" borderId="0" xfId="0" quotePrefix="1" applyNumberFormat="1" applyFont="1"/>
    <xf numFmtId="0" fontId="0" fillId="0" borderId="0" xfId="0" applyNumberFormat="1"/>
    <xf numFmtId="0" fontId="37" fillId="0" borderId="0" xfId="0" applyFont="1"/>
    <xf numFmtId="0" fontId="37" fillId="0" borderId="0" xfId="0" quotePrefix="1" applyNumberFormat="1" applyFont="1" applyFill="1"/>
    <xf numFmtId="0" fontId="38" fillId="0" borderId="0" xfId="0" applyFont="1"/>
    <xf numFmtId="0" fontId="10" fillId="0" borderId="15" xfId="1" applyFont="1" applyFill="1" applyBorder="1"/>
    <xf numFmtId="0" fontId="15" fillId="0" borderId="0" xfId="0" applyFont="1" applyAlignment="1">
      <alignment vertical="center"/>
    </xf>
    <xf numFmtId="0" fontId="0" fillId="0" borderId="15" xfId="0" applyBorder="1"/>
    <xf numFmtId="0" fontId="15" fillId="0" borderId="0" xfId="1"/>
    <xf numFmtId="0" fontId="15" fillId="0" borderId="0" xfId="1" applyFont="1"/>
    <xf numFmtId="0" fontId="10" fillId="0" borderId="0" xfId="1" applyFont="1"/>
    <xf numFmtId="0" fontId="10" fillId="0" borderId="15" xfId="1" applyFont="1" applyBorder="1"/>
    <xf numFmtId="0" fontId="15" fillId="0" borderId="0" xfId="1" applyBorder="1"/>
    <xf numFmtId="0" fontId="10" fillId="0" borderId="0" xfId="1" applyFont="1" applyFill="1"/>
    <xf numFmtId="0" fontId="40" fillId="0" borderId="26" xfId="0" applyFont="1" applyBorder="1"/>
    <xf numFmtId="0" fontId="40" fillId="0" borderId="25" xfId="0" applyFont="1" applyBorder="1"/>
    <xf numFmtId="0" fontId="40" fillId="0" borderId="27" xfId="0" applyFont="1" applyBorder="1"/>
    <xf numFmtId="0" fontId="39" fillId="0" borderId="28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37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8" fillId="0" borderId="0" xfId="46"/>
    <xf numFmtId="0" fontId="37" fillId="0" borderId="0" xfId="59" applyFont="1" applyFill="1"/>
    <xf numFmtId="0" fontId="15" fillId="0" borderId="15" xfId="0" applyFont="1" applyBorder="1" applyAlignment="1">
      <alignment vertical="center"/>
    </xf>
    <xf numFmtId="0" fontId="15" fillId="0" borderId="30" xfId="1" applyBorder="1"/>
    <xf numFmtId="0" fontId="15" fillId="0" borderId="15" xfId="1" applyFont="1" applyBorder="1"/>
    <xf numFmtId="0" fontId="15" fillId="0" borderId="0" xfId="0" applyFont="1"/>
    <xf numFmtId="0" fontId="10" fillId="0" borderId="0" xfId="0" applyFont="1"/>
    <xf numFmtId="0" fontId="0" fillId="0" borderId="0" xfId="0"/>
    <xf numFmtId="0" fontId="0" fillId="0" borderId="0" xfId="0"/>
    <xf numFmtId="0" fontId="10" fillId="0" borderId="0" xfId="0" applyFont="1" applyAlignment="1">
      <alignment horizontal="right"/>
    </xf>
    <xf numFmtId="0" fontId="10" fillId="0" borderId="0" xfId="0" applyFont="1" applyAlignment="1"/>
    <xf numFmtId="0" fontId="16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1" fillId="0" borderId="2" xfId="0" applyFont="1" applyBorder="1" applyAlignment="1">
      <alignment horizontal="right"/>
    </xf>
    <xf numFmtId="0" fontId="11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5" fillId="0" borderId="0" xfId="1" applyNumberFormat="1" applyFont="1"/>
    <xf numFmtId="0" fontId="15" fillId="0" borderId="0" xfId="1" applyBorder="1"/>
    <xf numFmtId="0" fontId="10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0" fillId="0" borderId="0" xfId="1" applyFont="1" applyFill="1"/>
    <xf numFmtId="0" fontId="0" fillId="0" borderId="0" xfId="0"/>
    <xf numFmtId="0" fontId="10" fillId="0" borderId="0" xfId="1" applyFont="1"/>
    <xf numFmtId="0" fontId="0" fillId="0" borderId="0" xfId="0"/>
    <xf numFmtId="0" fontId="10" fillId="0" borderId="0" xfId="1" applyFont="1"/>
    <xf numFmtId="0" fontId="15" fillId="0" borderId="0" xfId="1" applyFont="1" applyFill="1"/>
    <xf numFmtId="0" fontId="15" fillId="34" borderId="0" xfId="1" applyFill="1" applyBorder="1"/>
    <xf numFmtId="0" fontId="15" fillId="34" borderId="0" xfId="0" applyFont="1" applyFill="1"/>
    <xf numFmtId="0" fontId="15" fillId="34" borderId="15" xfId="0" applyFont="1" applyFill="1" applyBorder="1"/>
    <xf numFmtId="2" fontId="15" fillId="0" borderId="26" xfId="0" applyNumberFormat="1" applyFont="1" applyBorder="1"/>
    <xf numFmtId="2" fontId="15" fillId="0" borderId="32" xfId="0" applyNumberFormat="1" applyFont="1" applyBorder="1" applyAlignment="1">
      <alignment horizontal="center"/>
    </xf>
    <xf numFmtId="2" fontId="15" fillId="0" borderId="25" xfId="0" applyNumberFormat="1" applyFont="1" applyBorder="1"/>
    <xf numFmtId="2" fontId="15" fillId="0" borderId="27" xfId="0" applyNumberFormat="1" applyFont="1" applyBorder="1"/>
    <xf numFmtId="0" fontId="0" fillId="0" borderId="0" xfId="0"/>
    <xf numFmtId="0" fontId="15" fillId="35" borderId="0" xfId="0" applyFont="1" applyFill="1" applyAlignment="1">
      <alignment vertical="center"/>
    </xf>
    <xf numFmtId="0" fontId="15" fillId="35" borderId="0" xfId="1" applyFont="1" applyFill="1"/>
    <xf numFmtId="2" fontId="15" fillId="0" borderId="25" xfId="0" applyNumberFormat="1" applyFont="1" applyFill="1" applyBorder="1"/>
    <xf numFmtId="2" fontId="15" fillId="36" borderId="25" xfId="0" applyNumberFormat="1" applyFont="1" applyFill="1" applyBorder="1"/>
    <xf numFmtId="2" fontId="15" fillId="36" borderId="27" xfId="0" applyNumberFormat="1" applyFont="1" applyFill="1" applyBorder="1"/>
    <xf numFmtId="0" fontId="15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7" fillId="0" borderId="0" xfId="46" applyFont="1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15" fillId="0" borderId="0" xfId="0" quotePrefix="1" applyNumberFormat="1" applyFont="1"/>
    <xf numFmtId="0" fontId="0" fillId="0" borderId="0" xfId="0"/>
    <xf numFmtId="0" fontId="0" fillId="0" borderId="0" xfId="0"/>
    <xf numFmtId="0" fontId="5" fillId="0" borderId="0" xfId="46" applyFont="1"/>
    <xf numFmtId="0" fontId="0" fillId="0" borderId="0" xfId="0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/>
    <xf numFmtId="0" fontId="1" fillId="0" borderId="0" xfId="46" applyFont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/>
    <xf numFmtId="0" fontId="10" fillId="0" borderId="10" xfId="0" applyFont="1" applyBorder="1" applyAlignment="1">
      <alignment horizontal="center"/>
    </xf>
    <xf numFmtId="0" fontId="10" fillId="0" borderId="0" xfId="1" applyFont="1" applyFill="1"/>
    <xf numFmtId="0" fontId="0" fillId="0" borderId="0" xfId="0"/>
    <xf numFmtId="0" fontId="10" fillId="0" borderId="0" xfId="1" applyFont="1"/>
    <xf numFmtId="0" fontId="14" fillId="0" borderId="0" xfId="1" applyFont="1"/>
    <xf numFmtId="0" fontId="17" fillId="0" borderId="0" xfId="1" applyFont="1" applyAlignment="1">
      <alignment horizontal="center"/>
    </xf>
    <xf numFmtId="0" fontId="15" fillId="0" borderId="0" xfId="1" applyFont="1" applyFill="1" applyBorder="1" applyAlignment="1">
      <alignment horizontal="center"/>
    </xf>
    <xf numFmtId="0" fontId="10" fillId="0" borderId="29" xfId="1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0" fillId="0" borderId="30" xfId="1" applyFont="1" applyBorder="1" applyAlignment="1">
      <alignment horizontal="center"/>
    </xf>
    <xf numFmtId="0" fontId="39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 t="s">
        <v>5455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5367</v>
      </c>
      <c r="B12" s="65" t="s">
        <v>5368</v>
      </c>
      <c r="C12" s="65"/>
      <c r="D12" s="65"/>
      <c r="E12" s="65"/>
    </row>
    <row r="13" spans="1:5" x14ac:dyDescent="0.2">
      <c r="A13" s="69" t="s">
        <v>5369</v>
      </c>
      <c r="B13" s="65"/>
      <c r="C13" s="65"/>
      <c r="D13" s="65"/>
      <c r="E13" s="65"/>
    </row>
    <row r="14" spans="1:5" x14ac:dyDescent="0.2">
      <c r="A14" s="69" t="s">
        <v>5370</v>
      </c>
      <c r="B14" s="65"/>
      <c r="C14" s="65"/>
      <c r="D14" s="65"/>
      <c r="E14" s="65"/>
    </row>
    <row r="15" spans="1:5" x14ac:dyDescent="0.2">
      <c r="A15" s="69" t="s">
        <v>5371</v>
      </c>
      <c r="B15" s="28"/>
      <c r="C15" s="67"/>
      <c r="D15" s="28"/>
      <c r="E15" s="28"/>
    </row>
    <row r="16" spans="1:5" x14ac:dyDescent="0.2">
      <c r="A16" s="69" t="s">
        <v>5372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5373</v>
      </c>
      <c r="B18" s="65"/>
      <c r="C18" s="67"/>
      <c r="D18" s="65"/>
      <c r="E18" s="65"/>
    </row>
    <row r="19" spans="1:5" x14ac:dyDescent="0.2">
      <c r="A19" s="69" t="s">
        <v>5374</v>
      </c>
      <c r="B19" s="70"/>
      <c r="C19" s="65"/>
      <c r="D19" s="65"/>
      <c r="E19" s="65"/>
    </row>
    <row r="20" spans="1:5" x14ac:dyDescent="0.2">
      <c r="A20" s="25" t="s">
        <v>5375</v>
      </c>
      <c r="B20" s="65"/>
      <c r="C20" s="67"/>
      <c r="D20" s="65"/>
      <c r="E20" s="65"/>
    </row>
    <row r="21" spans="1:5" x14ac:dyDescent="0.2">
      <c r="A21" s="25" t="s">
        <v>5376</v>
      </c>
      <c r="B21" s="28"/>
      <c r="C21" s="28"/>
      <c r="D21" s="28"/>
      <c r="E21" s="28"/>
    </row>
    <row r="22" spans="1:5" x14ac:dyDescent="0.2">
      <c r="A22" s="140" t="s">
        <v>5377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5378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5379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5380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5381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5382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5383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5384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5385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5386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5387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5388</v>
      </c>
      <c r="B75" s="65" t="s">
        <v>5389</v>
      </c>
      <c r="C75" s="65"/>
      <c r="D75" s="65"/>
      <c r="E75" s="65"/>
    </row>
    <row r="76" spans="1:5" x14ac:dyDescent="0.2">
      <c r="A76" s="69" t="s">
        <v>5390</v>
      </c>
      <c r="B76" s="65" t="s">
        <v>5389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5391</v>
      </c>
      <c r="B79" s="65" t="s">
        <v>5392</v>
      </c>
      <c r="C79" s="65"/>
      <c r="D79" s="65"/>
      <c r="E79" s="65"/>
    </row>
    <row r="80" spans="1:5" x14ac:dyDescent="0.2">
      <c r="A80" s="69" t="s">
        <v>5393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2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1878" zoomScale="70" zoomScaleNormal="70" workbookViewId="0">
      <selection activeCell="A1898" sqref="A1898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5396</v>
      </c>
      <c r="I2" s="42" t="s">
        <v>4820</v>
      </c>
      <c r="J2" s="42">
        <v>0.5</v>
      </c>
      <c r="K2" s="42"/>
      <c r="L2" s="42"/>
      <c r="M2" s="42"/>
      <c r="N2" s="13" t="s">
        <v>5365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5394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5395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18" t="s">
        <v>5431</v>
      </c>
      <c r="B24" s="31" t="s">
        <v>5360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4840</v>
      </c>
      <c r="B36" s="31" t="s">
        <v>5361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4841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4842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4843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4844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4845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4846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4847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4848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4849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4850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4851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4852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4853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4854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5445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1" t="s">
        <v>5443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4860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4870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4873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4880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4881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4890</v>
      </c>
      <c r="C426" s="32"/>
      <c r="E426" s="32"/>
      <c r="F426" s="32"/>
    </row>
    <row r="427" spans="1:6" x14ac:dyDescent="0.2">
      <c r="A427" s="36" t="s">
        <v>5419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4891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4892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4893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4894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4895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4896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4897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4898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4899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4900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4901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4902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4903</v>
      </c>
    </row>
    <row r="693" spans="1:6" x14ac:dyDescent="0.2">
      <c r="A693" s="36" t="s">
        <v>5413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4904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4905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4906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5366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4907</v>
      </c>
      <c r="B721" s="31" t="s">
        <v>5366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4908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4909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4910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4911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4912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4913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4914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4915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4916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4917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4918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4919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4920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4921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4922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4923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2" customFormat="1" x14ac:dyDescent="0.2">
      <c r="A822" s="36" t="s">
        <v>5425</v>
      </c>
      <c r="B822" s="113" t="s">
        <v>2316</v>
      </c>
      <c r="C822" s="37">
        <v>6</v>
      </c>
      <c r="D822" s="113" t="s">
        <v>149</v>
      </c>
      <c r="E822" s="115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4924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4925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5362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5449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4926</v>
      </c>
      <c r="C858" s="32"/>
      <c r="E858" s="32"/>
      <c r="F858" s="32"/>
    </row>
    <row r="859" spans="1:7" x14ac:dyDescent="0.2">
      <c r="A859" s="36" t="s">
        <v>5448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4927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4928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4929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4930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4931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4932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60" t="s">
        <v>4933</v>
      </c>
      <c r="C915" s="32"/>
      <c r="E915" s="32"/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4934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4935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4936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4937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4938</v>
      </c>
      <c r="C966" s="32"/>
      <c r="E966" s="32"/>
      <c r="F966" s="32"/>
    </row>
    <row r="967" spans="1:7" ht="15" x14ac:dyDescent="0.25">
      <c r="A967" s="60" t="s">
        <v>4939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4940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4941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1" customFormat="1" x14ac:dyDescent="0.2">
      <c r="A984" s="36" t="s">
        <v>5423</v>
      </c>
      <c r="B984" s="113" t="s">
        <v>5424</v>
      </c>
      <c r="C984" s="39">
        <v>7</v>
      </c>
      <c r="D984" s="113" t="s">
        <v>149</v>
      </c>
      <c r="E984" s="114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4942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4943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4944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4945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4946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4947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4948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4949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4950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4951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4952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4953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4954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4955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4956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4957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5414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4958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4959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4960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4961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4962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4963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4964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4965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4966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4967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4968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4969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4970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4971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4972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4973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4974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4975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4976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0" t="s">
        <v>5436</v>
      </c>
      <c r="B1289" s="31" t="s">
        <v>5437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4977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4978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4979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4980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4981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4982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24" t="s">
        <v>5450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4983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4984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4985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4986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4987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4988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4989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4990</v>
      </c>
      <c r="C1370" s="32"/>
      <c r="E1370" s="32"/>
      <c r="F1370" s="32"/>
    </row>
    <row r="1371" spans="1:10" ht="15" x14ac:dyDescent="0.25">
      <c r="A1371" s="60" t="s">
        <v>4991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4992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4993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4994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4995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4996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4997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4998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4999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5000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5001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5002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5003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5004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5451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5452</v>
      </c>
    </row>
    <row r="1440" spans="1:8" ht="15" x14ac:dyDescent="0.25">
      <c r="A1440" s="60" t="s">
        <v>5005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5006</v>
      </c>
      <c r="C1442" s="32"/>
      <c r="E1442" s="32"/>
      <c r="F1442" s="32"/>
    </row>
    <row r="1443" spans="1:7" ht="15" x14ac:dyDescent="0.25">
      <c r="A1443" s="60" t="s">
        <v>5007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18" t="s">
        <v>5429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5008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5009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5010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5011</v>
      </c>
      <c r="C1456" s="32"/>
      <c r="E1456" s="32"/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5012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5013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5014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5015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5016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5017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5018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5019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5020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5021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5022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24" t="s">
        <v>5453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5023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5024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5025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5026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5027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5028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5029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5030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5031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5032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5033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5034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5035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5036</v>
      </c>
      <c r="C1572" s="32"/>
      <c r="E1572" s="32"/>
      <c r="F1572" s="32"/>
    </row>
    <row r="1573" spans="1:7" ht="15" x14ac:dyDescent="0.25">
      <c r="A1573" s="60" t="s">
        <v>5037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5038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5039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5040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5041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5042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5043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5044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5045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5046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5047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5048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5049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5050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5051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5052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5053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5054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5055</v>
      </c>
      <c r="D1644" s="32"/>
    </row>
    <row r="1645" spans="1:6" s="106" customFormat="1" ht="15" x14ac:dyDescent="0.25">
      <c r="A1645" s="107" t="s">
        <v>5416</v>
      </c>
      <c r="C1645" s="106">
        <v>0</v>
      </c>
      <c r="D1645" s="106" t="s">
        <v>157</v>
      </c>
      <c r="E1645" s="106" t="s">
        <v>152</v>
      </c>
    </row>
    <row r="1646" spans="1:6" s="117" customFormat="1" ht="15" x14ac:dyDescent="0.25">
      <c r="A1646" s="120" t="s">
        <v>5433</v>
      </c>
      <c r="C1646" s="117">
        <v>0</v>
      </c>
      <c r="D1646" s="117" t="s">
        <v>157</v>
      </c>
      <c r="E1646" s="117" t="s">
        <v>152</v>
      </c>
    </row>
    <row r="1647" spans="1:6" s="117" customFormat="1" ht="15" x14ac:dyDescent="0.25">
      <c r="A1647" s="120" t="s">
        <v>5434</v>
      </c>
      <c r="C1647" s="117">
        <v>0</v>
      </c>
      <c r="D1647" s="117" t="s">
        <v>157</v>
      </c>
      <c r="E1647" s="117" t="s">
        <v>152</v>
      </c>
    </row>
    <row r="1648" spans="1:6" s="117" customFormat="1" ht="15" x14ac:dyDescent="0.25">
      <c r="A1648" s="120" t="s">
        <v>5435</v>
      </c>
      <c r="C1648" s="117">
        <v>0</v>
      </c>
      <c r="D1648" s="117" t="s">
        <v>157</v>
      </c>
      <c r="E1648" s="117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/>
      <c r="D1656" s="31" t="s">
        <v>1243</v>
      </c>
      <c r="E1656" s="37"/>
      <c r="F1656" s="37"/>
    </row>
    <row r="1657" spans="1:6" ht="15" x14ac:dyDescent="0.25">
      <c r="A1657" s="60" t="s">
        <v>5056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5057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5058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5059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5060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5061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5062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5063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5064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5065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5066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5067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5068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5069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5070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5071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60" t="s">
        <v>5072</v>
      </c>
      <c r="C1727" s="32"/>
      <c r="E1727" s="32"/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5073</v>
      </c>
      <c r="C1730" s="32"/>
      <c r="E1730" s="32"/>
      <c r="F1730" s="32"/>
    </row>
    <row r="1731" spans="1:7" ht="15" x14ac:dyDescent="0.25">
      <c r="A1731" s="60" t="s">
        <v>5074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5075</v>
      </c>
      <c r="C1735" s="32"/>
      <c r="E1735" s="32"/>
      <c r="F1735" s="32"/>
    </row>
    <row r="1736" spans="1:7" ht="15" x14ac:dyDescent="0.25">
      <c r="A1736" s="60" t="s">
        <v>5076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5077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5078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5079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2" t="s">
        <v>5444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5080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5081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5082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5083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5084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5085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5086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5087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5088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5089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5090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5091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5092</v>
      </c>
      <c r="C1793" s="32"/>
      <c r="E1793" s="32"/>
      <c r="F1793" s="32"/>
    </row>
    <row r="1794" spans="1:7" ht="15" x14ac:dyDescent="0.25">
      <c r="A1794" s="60" t="s">
        <v>5093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5094</v>
      </c>
      <c r="C1801" s="32"/>
      <c r="E1801" s="32"/>
      <c r="F1801" s="32"/>
    </row>
    <row r="1802" spans="1:7" ht="15" x14ac:dyDescent="0.25">
      <c r="A1802" s="60" t="s">
        <v>5095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5096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5097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5098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5099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5100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5101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5102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5103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5104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5105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5106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5107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5108</v>
      </c>
      <c r="C1858" s="32"/>
      <c r="E1858" s="32"/>
      <c r="F1858" s="32"/>
    </row>
    <row r="1859" spans="1:7" ht="15" x14ac:dyDescent="0.25">
      <c r="A1859" s="60" t="s">
        <v>5109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5110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5111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5112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5113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5114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5115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5116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5117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5118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5119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5120</v>
      </c>
      <c r="C1896" s="32"/>
      <c r="E1896" s="32"/>
      <c r="F1896" s="32"/>
    </row>
    <row r="1897" spans="1:7" x14ac:dyDescent="0.2">
      <c r="A1897" s="36" t="s">
        <v>5454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5121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5122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5123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5124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5125</v>
      </c>
      <c r="C1921" s="32"/>
      <c r="E1921" s="32"/>
      <c r="F1921" s="32"/>
    </row>
    <row r="1922" spans="1:7" ht="15" x14ac:dyDescent="0.25">
      <c r="A1922" s="60" t="s">
        <v>5126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5127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5128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5129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5130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5131</v>
      </c>
      <c r="C1939" s="32"/>
      <c r="E1939" s="32"/>
      <c r="F1939" s="32"/>
    </row>
    <row r="1940" spans="1:7" x14ac:dyDescent="0.2">
      <c r="A1940" s="36" t="s">
        <v>5422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5132</v>
      </c>
      <c r="C1944" s="32"/>
      <c r="E1944" s="32"/>
      <c r="F1944" s="32"/>
    </row>
    <row r="1945" spans="1:7" ht="15" x14ac:dyDescent="0.25">
      <c r="A1945" s="60" t="s">
        <v>5133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5134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5135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5136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5137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5138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5139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5140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5141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5142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5143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18" t="s">
        <v>5432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5409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5144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5145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5146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5147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5148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5149</v>
      </c>
      <c r="C2015" s="32"/>
      <c r="E2015" s="32"/>
      <c r="F2015" s="32"/>
    </row>
    <row r="2016" spans="1:7" ht="15" x14ac:dyDescent="0.25">
      <c r="A2016" s="60" t="s">
        <v>5150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5151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5152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5153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5154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5155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5156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5157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5158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5159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5160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5161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5162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5163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5164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5165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5166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5167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5168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5169</v>
      </c>
      <c r="E2094" s="32"/>
      <c r="F2094" s="32"/>
    </row>
    <row r="2095" spans="1:7" ht="15" x14ac:dyDescent="0.25">
      <c r="A2095" s="60" t="s">
        <v>5170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5171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60" t="s">
        <v>5172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5173</v>
      </c>
      <c r="C2105" s="32"/>
      <c r="E2105" s="32"/>
      <c r="F2105" s="32"/>
    </row>
    <row r="2106" spans="1:7" ht="15" x14ac:dyDescent="0.25">
      <c r="A2106" s="60" t="s">
        <v>5174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5175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5176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5177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5178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5179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5180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5181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5182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5183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5184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5185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5186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5187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5188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5189</v>
      </c>
      <c r="C2212" s="32"/>
      <c r="D2212" s="32"/>
      <c r="E2212" s="32"/>
      <c r="F2212" s="32"/>
    </row>
    <row r="2213" spans="1:7" ht="15" x14ac:dyDescent="0.25">
      <c r="A2213" s="60" t="s">
        <v>5190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5191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5192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5193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5194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5195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5196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5197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5198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5199</v>
      </c>
      <c r="C2286" s="32"/>
      <c r="E2286" s="32"/>
      <c r="F2286" s="32"/>
    </row>
    <row r="2287" spans="1:7" ht="15" x14ac:dyDescent="0.25">
      <c r="A2287" s="60" t="s">
        <v>5200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5201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5202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5203</v>
      </c>
      <c r="C2305" s="32"/>
      <c r="E2305" s="32"/>
      <c r="F2305" s="32"/>
    </row>
    <row r="2306" spans="1:7" ht="15" x14ac:dyDescent="0.25">
      <c r="A2306" s="60" t="s">
        <v>5204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5205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5206</v>
      </c>
      <c r="C2313" s="32"/>
      <c r="E2313" s="32"/>
      <c r="F2313" s="32"/>
    </row>
    <row r="2314" spans="1:7" ht="15" x14ac:dyDescent="0.25">
      <c r="A2314" s="60" t="s">
        <v>5207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5208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5209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5210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5211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5212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5213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5214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5215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5216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5217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18" t="s">
        <v>5426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5218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5219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5220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5221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5415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60" t="s">
        <v>5222</v>
      </c>
      <c r="C2444" s="32"/>
      <c r="E2444" s="32"/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5223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5224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5225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5226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5227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5228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5229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5230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5231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5232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18" t="s">
        <v>5427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5233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4001</v>
      </c>
      <c r="B2529" s="31" t="s">
        <v>4000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4003</v>
      </c>
      <c r="B2530" s="31" t="s">
        <v>4002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20" t="s">
        <v>5438</v>
      </c>
      <c r="B2531" s="31" t="s">
        <v>5439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4005</v>
      </c>
      <c r="B2532" s="31" t="s">
        <v>4004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4007</v>
      </c>
      <c r="B2533" s="31" t="s">
        <v>4006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5234</v>
      </c>
    </row>
    <row r="2535" spans="1:7" x14ac:dyDescent="0.2">
      <c r="A2535" s="36" t="s">
        <v>4008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4010</v>
      </c>
      <c r="B2536" s="31" t="s">
        <v>4009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5235</v>
      </c>
    </row>
    <row r="2538" spans="1:7" ht="15" x14ac:dyDescent="0.25">
      <c r="A2538" s="60" t="s">
        <v>5236</v>
      </c>
    </row>
    <row r="2539" spans="1:7" x14ac:dyDescent="0.2">
      <c r="A2539" s="36" t="s">
        <v>4012</v>
      </c>
      <c r="B2539" s="31" t="s">
        <v>4011</v>
      </c>
      <c r="C2539" s="37"/>
      <c r="D2539" s="31" t="s">
        <v>149</v>
      </c>
      <c r="E2539" s="37"/>
      <c r="F2539" s="37"/>
    </row>
    <row r="2540" spans="1:7" x14ac:dyDescent="0.2">
      <c r="A2540" s="36" t="s">
        <v>4014</v>
      </c>
      <c r="B2540" s="31" t="s">
        <v>4013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4016</v>
      </c>
      <c r="B2541" s="31" t="s">
        <v>4015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5237</v>
      </c>
    </row>
    <row r="2543" spans="1:7" x14ac:dyDescent="0.2">
      <c r="A2543" s="36" t="s">
        <v>4018</v>
      </c>
      <c r="B2543" s="31" t="s">
        <v>4017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5238</v>
      </c>
    </row>
    <row r="2545" spans="1:7" x14ac:dyDescent="0.2">
      <c r="A2545" s="36" t="s">
        <v>4019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4021</v>
      </c>
      <c r="B2546" s="31" t="s">
        <v>4020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5239</v>
      </c>
    </row>
    <row r="2548" spans="1:7" x14ac:dyDescent="0.2">
      <c r="A2548" s="36" t="s">
        <v>4023</v>
      </c>
      <c r="B2548" s="31" t="s">
        <v>4022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5240</v>
      </c>
    </row>
    <row r="2550" spans="1:7" x14ac:dyDescent="0.2">
      <c r="A2550" s="36" t="s">
        <v>4025</v>
      </c>
      <c r="B2550" s="31" t="s">
        <v>4024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5241</v>
      </c>
    </row>
    <row r="2552" spans="1:7" x14ac:dyDescent="0.2">
      <c r="A2552" s="36" t="s">
        <v>4026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4028</v>
      </c>
      <c r="B2553" s="31" t="s">
        <v>4027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5242</v>
      </c>
    </row>
    <row r="2555" spans="1:7" x14ac:dyDescent="0.2">
      <c r="A2555" s="36" t="s">
        <v>4029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4031</v>
      </c>
      <c r="B2556" s="31" t="s">
        <v>4030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4033</v>
      </c>
      <c r="B2557" s="31" t="s">
        <v>4032</v>
      </c>
      <c r="C2557" s="37"/>
      <c r="D2557" s="31" t="s">
        <v>189</v>
      </c>
      <c r="E2557" s="37"/>
      <c r="F2557" s="37"/>
    </row>
    <row r="2558" spans="1:7" x14ac:dyDescent="0.2">
      <c r="A2558" s="36" t="s">
        <v>4035</v>
      </c>
      <c r="B2558" s="31" t="s">
        <v>4034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4037</v>
      </c>
      <c r="B2559" s="31" t="s">
        <v>4036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4038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4040</v>
      </c>
      <c r="B2561" s="31" t="s">
        <v>4039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4042</v>
      </c>
      <c r="B2562" s="31" t="s">
        <v>4041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4043</v>
      </c>
      <c r="B2563" s="31" t="s">
        <v>4041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4044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5243</v>
      </c>
    </row>
    <row r="2566" spans="1:7" x14ac:dyDescent="0.2">
      <c r="A2566" s="36" t="s">
        <v>4046</v>
      </c>
      <c r="B2566" s="31" t="s">
        <v>4045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4048</v>
      </c>
      <c r="B2567" s="31" t="s">
        <v>4047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4050</v>
      </c>
      <c r="B2568" s="31" t="s">
        <v>4049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4051</v>
      </c>
      <c r="B2569" s="31" t="s">
        <v>4032</v>
      </c>
      <c r="C2569" s="37"/>
      <c r="D2569" s="31" t="s">
        <v>189</v>
      </c>
      <c r="E2569" s="37"/>
      <c r="F2569" s="37"/>
    </row>
    <row r="2570" spans="1:7" x14ac:dyDescent="0.2">
      <c r="A2570" s="36" t="s">
        <v>4052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5244</v>
      </c>
    </row>
    <row r="2572" spans="1:7" x14ac:dyDescent="0.2">
      <c r="A2572" s="36" t="s">
        <v>4054</v>
      </c>
      <c r="B2572" s="31" t="s">
        <v>4053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5446</v>
      </c>
      <c r="B2573" s="31" t="s">
        <v>4055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5447</v>
      </c>
      <c r="B2574" s="31" t="s">
        <v>4056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4058</v>
      </c>
      <c r="B2575" s="31" t="s">
        <v>4057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4060</v>
      </c>
      <c r="B2576" s="31" t="s">
        <v>4059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4062</v>
      </c>
      <c r="B2577" s="31" t="s">
        <v>4061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4064</v>
      </c>
      <c r="B2578" s="31" t="s">
        <v>4063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4066</v>
      </c>
      <c r="B2579" s="31" t="s">
        <v>4065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4068</v>
      </c>
      <c r="B2580" s="31" t="s">
        <v>4067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5245</v>
      </c>
    </row>
    <row r="2582" spans="1:7" x14ac:dyDescent="0.2">
      <c r="A2582" s="36" t="s">
        <v>4069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4071</v>
      </c>
      <c r="B2583" s="31" t="s">
        <v>4070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5246</v>
      </c>
    </row>
    <row r="2585" spans="1:7" ht="15" x14ac:dyDescent="0.25">
      <c r="A2585" s="60" t="s">
        <v>5247</v>
      </c>
    </row>
    <row r="2586" spans="1:7" x14ac:dyDescent="0.2">
      <c r="A2586" s="36" t="s">
        <v>4073</v>
      </c>
      <c r="B2586" s="31" t="s">
        <v>4072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4075</v>
      </c>
      <c r="B2587" s="31" t="s">
        <v>4074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4077</v>
      </c>
      <c r="B2588" s="31" t="s">
        <v>4076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5248</v>
      </c>
    </row>
    <row r="2590" spans="1:7" x14ac:dyDescent="0.2">
      <c r="A2590" s="36" t="s">
        <v>4079</v>
      </c>
      <c r="B2590" s="31" t="s">
        <v>4078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4081</v>
      </c>
      <c r="B2591" s="31" t="s">
        <v>4080</v>
      </c>
      <c r="C2591" s="37">
        <v>5</v>
      </c>
      <c r="D2591" s="31" t="s">
        <v>149</v>
      </c>
      <c r="E2591" s="37" t="s">
        <v>147</v>
      </c>
      <c r="F2591" s="37" t="s">
        <v>3997</v>
      </c>
    </row>
    <row r="2592" spans="1:7" ht="15" x14ac:dyDescent="0.25">
      <c r="A2592" s="60" t="s">
        <v>5249</v>
      </c>
    </row>
    <row r="2593" spans="1:7" x14ac:dyDescent="0.2">
      <c r="A2593" s="36" t="s">
        <v>4083</v>
      </c>
      <c r="B2593" s="31" t="s">
        <v>4082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4085</v>
      </c>
      <c r="B2594" s="31" t="s">
        <v>4084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4087</v>
      </c>
      <c r="B2595" s="31" t="s">
        <v>4086</v>
      </c>
      <c r="C2595" s="37"/>
      <c r="D2595" s="31" t="s">
        <v>149</v>
      </c>
      <c r="E2595" s="37"/>
      <c r="F2595" s="37"/>
    </row>
    <row r="2596" spans="1:7" x14ac:dyDescent="0.2">
      <c r="A2596" s="36" t="s">
        <v>4088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4090</v>
      </c>
      <c r="B2597" s="31" t="s">
        <v>4089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4092</v>
      </c>
      <c r="B2598" s="31" t="s">
        <v>4091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5250</v>
      </c>
    </row>
    <row r="2600" spans="1:7" s="109" customFormat="1" ht="15" x14ac:dyDescent="0.25">
      <c r="A2600" s="110" t="s">
        <v>5420</v>
      </c>
      <c r="B2600" s="109" t="s">
        <v>5421</v>
      </c>
      <c r="C2600" s="109">
        <v>0</v>
      </c>
      <c r="D2600" s="109" t="s">
        <v>149</v>
      </c>
      <c r="E2600" s="109" t="s">
        <v>152</v>
      </c>
    </row>
    <row r="2601" spans="1:7" x14ac:dyDescent="0.2">
      <c r="A2601" s="36" t="s">
        <v>4094</v>
      </c>
      <c r="B2601" s="31" t="s">
        <v>4093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5251</v>
      </c>
    </row>
    <row r="2603" spans="1:7" x14ac:dyDescent="0.2">
      <c r="A2603" s="36" t="s">
        <v>4096</v>
      </c>
      <c r="B2603" s="31" t="s">
        <v>4095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4098</v>
      </c>
      <c r="B2604" s="31" t="s">
        <v>4097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5252</v>
      </c>
    </row>
    <row r="2606" spans="1:7" x14ac:dyDescent="0.2">
      <c r="A2606" s="36" t="s">
        <v>4099</v>
      </c>
      <c r="C2606" s="37"/>
      <c r="D2606" s="31" t="s">
        <v>149</v>
      </c>
      <c r="E2606" s="37"/>
      <c r="F2606" s="37"/>
    </row>
    <row r="2607" spans="1:7" x14ac:dyDescent="0.2">
      <c r="A2607" s="36" t="s">
        <v>4101</v>
      </c>
      <c r="B2607" s="31" t="s">
        <v>4100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5253</v>
      </c>
    </row>
    <row r="2609" spans="1:7" x14ac:dyDescent="0.2">
      <c r="A2609" s="36" t="s">
        <v>4103</v>
      </c>
      <c r="B2609" s="31" t="s">
        <v>4102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4105</v>
      </c>
      <c r="B2610" s="31" t="s">
        <v>4104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4107</v>
      </c>
      <c r="B2611" s="31" t="s">
        <v>4106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4108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4109</v>
      </c>
      <c r="D2613" s="31" t="s">
        <v>189</v>
      </c>
      <c r="E2613" s="37"/>
      <c r="F2613" s="37"/>
    </row>
    <row r="2614" spans="1:7" x14ac:dyDescent="0.2">
      <c r="A2614" s="36" t="s">
        <v>4111</v>
      </c>
      <c r="B2614" s="31" t="s">
        <v>4110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5254</v>
      </c>
    </row>
    <row r="2616" spans="1:7" x14ac:dyDescent="0.2">
      <c r="A2616" s="36" t="s">
        <v>4113</v>
      </c>
      <c r="B2616" s="31" t="s">
        <v>4112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4115</v>
      </c>
      <c r="B2617" s="31" t="s">
        <v>4114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4116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4117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4119</v>
      </c>
      <c r="B2620" s="31" t="s">
        <v>4118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4121</v>
      </c>
      <c r="B2621" s="31" t="s">
        <v>4120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5255</v>
      </c>
    </row>
    <row r="2623" spans="1:7" x14ac:dyDescent="0.2">
      <c r="A2623" s="36" t="s">
        <v>4123</v>
      </c>
      <c r="B2623" s="31" t="s">
        <v>4122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5256</v>
      </c>
    </row>
    <row r="2625" spans="1:7" ht="15" x14ac:dyDescent="0.25">
      <c r="A2625" s="60" t="s">
        <v>5257</v>
      </c>
    </row>
    <row r="2626" spans="1:7" x14ac:dyDescent="0.2">
      <c r="A2626" s="36" t="s">
        <v>4125</v>
      </c>
      <c r="B2626" s="31" t="s">
        <v>4124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4127</v>
      </c>
      <c r="B2627" s="31" t="s">
        <v>4126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5258</v>
      </c>
    </row>
    <row r="2629" spans="1:7" x14ac:dyDescent="0.2">
      <c r="A2629" s="36" t="s">
        <v>4129</v>
      </c>
      <c r="B2629" s="31" t="s">
        <v>4128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4131</v>
      </c>
      <c r="B2630" s="31" t="s">
        <v>4130</v>
      </c>
      <c r="D2630" s="31" t="s">
        <v>149</v>
      </c>
      <c r="E2630" s="37"/>
      <c r="F2630" s="37"/>
    </row>
    <row r="2631" spans="1:7" x14ac:dyDescent="0.2">
      <c r="A2631" s="36" t="s">
        <v>4133</v>
      </c>
      <c r="B2631" s="31" t="s">
        <v>4132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4134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4136</v>
      </c>
      <c r="B2633" s="31" t="s">
        <v>4135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4138</v>
      </c>
      <c r="B2634" s="31" t="s">
        <v>4137</v>
      </c>
      <c r="D2634" s="31" t="s">
        <v>149</v>
      </c>
      <c r="E2634" s="37"/>
      <c r="F2634" s="37"/>
    </row>
    <row r="2635" spans="1:7" x14ac:dyDescent="0.2">
      <c r="A2635" s="36" t="s">
        <v>4139</v>
      </c>
      <c r="D2635" s="31" t="s">
        <v>149</v>
      </c>
      <c r="E2635" s="37"/>
      <c r="F2635" s="37"/>
    </row>
    <row r="2636" spans="1:7" x14ac:dyDescent="0.2">
      <c r="A2636" s="36" t="s">
        <v>4141</v>
      </c>
      <c r="B2636" s="31" t="s">
        <v>4140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4142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4144</v>
      </c>
      <c r="B2638" s="31" t="s">
        <v>4143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4146</v>
      </c>
      <c r="B2639" s="31" t="s">
        <v>4145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4148</v>
      </c>
      <c r="B2640" s="31" t="s">
        <v>4147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4150</v>
      </c>
      <c r="B2641" s="31" t="s">
        <v>4149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5259</v>
      </c>
    </row>
    <row r="2643" spans="1:6" x14ac:dyDescent="0.2">
      <c r="A2643" s="36" t="s">
        <v>4152</v>
      </c>
      <c r="B2643" s="31" t="s">
        <v>4151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4153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4155</v>
      </c>
      <c r="B2645" s="31" t="s">
        <v>4154</v>
      </c>
      <c r="D2645" s="31" t="s">
        <v>149</v>
      </c>
      <c r="E2645" s="37"/>
      <c r="F2645" s="37"/>
    </row>
    <row r="2646" spans="1:6" x14ac:dyDescent="0.2">
      <c r="A2646" s="36" t="s">
        <v>4157</v>
      </c>
      <c r="B2646" s="31" t="s">
        <v>4156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4158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4160</v>
      </c>
      <c r="B2648" s="31" t="s">
        <v>4159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5260</v>
      </c>
    </row>
    <row r="2650" spans="1:6" x14ac:dyDescent="0.2">
      <c r="A2650" s="36" t="s">
        <v>4162</v>
      </c>
      <c r="B2650" s="31" t="s">
        <v>4161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5261</v>
      </c>
    </row>
    <row r="2652" spans="1:6" x14ac:dyDescent="0.2">
      <c r="A2652" s="36" t="s">
        <v>4164</v>
      </c>
      <c r="B2652" s="31" t="s">
        <v>4163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4166</v>
      </c>
      <c r="B2653" s="31" t="s">
        <v>4165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4168</v>
      </c>
      <c r="B2654" s="31" t="s">
        <v>4167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5262</v>
      </c>
    </row>
    <row r="2656" spans="1:6" x14ac:dyDescent="0.2">
      <c r="A2656" s="36" t="s">
        <v>4170</v>
      </c>
      <c r="B2656" s="31" t="s">
        <v>4169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4172</v>
      </c>
      <c r="B2657" s="31" t="s">
        <v>4171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4173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4175</v>
      </c>
      <c r="B2659" s="31" t="s">
        <v>4174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4177</v>
      </c>
      <c r="B2660" s="31" t="s">
        <v>4176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5263</v>
      </c>
    </row>
    <row r="2662" spans="1:6" ht="15" x14ac:dyDescent="0.25">
      <c r="A2662" s="60" t="s">
        <v>5264</v>
      </c>
    </row>
    <row r="2663" spans="1:6" x14ac:dyDescent="0.2">
      <c r="A2663" s="36" t="s">
        <v>4179</v>
      </c>
      <c r="B2663" s="31" t="s">
        <v>4178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4181</v>
      </c>
      <c r="B2664" s="31" t="s">
        <v>4180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4183</v>
      </c>
      <c r="B2665" s="31" t="s">
        <v>4182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4185</v>
      </c>
      <c r="B2666" s="31" t="s">
        <v>4184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4187</v>
      </c>
      <c r="B2667" s="31" t="s">
        <v>4186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5265</v>
      </c>
    </row>
    <row r="2669" spans="1:6" x14ac:dyDescent="0.2">
      <c r="A2669" s="36" t="s">
        <v>4189</v>
      </c>
      <c r="B2669" s="31" t="s">
        <v>4188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4191</v>
      </c>
      <c r="B2670" s="31" t="s">
        <v>4190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4193</v>
      </c>
      <c r="B2671" s="31" t="s">
        <v>4192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4194</v>
      </c>
      <c r="D2672" s="31" t="s">
        <v>149</v>
      </c>
      <c r="E2672" s="37"/>
      <c r="F2672" s="37"/>
    </row>
    <row r="2673" spans="1:6" x14ac:dyDescent="0.2">
      <c r="A2673" s="36" t="s">
        <v>4196</v>
      </c>
      <c r="B2673" s="31" t="s">
        <v>4195</v>
      </c>
      <c r="D2673" s="31" t="s">
        <v>149</v>
      </c>
      <c r="E2673" s="37"/>
      <c r="F2673" s="37"/>
    </row>
    <row r="2674" spans="1:6" s="116" customFormat="1" x14ac:dyDescent="0.2">
      <c r="A2674" s="36" t="s">
        <v>5428</v>
      </c>
      <c r="B2674" s="116" t="s">
        <v>4195</v>
      </c>
      <c r="C2674" s="116">
        <v>1</v>
      </c>
      <c r="D2674" s="116" t="s">
        <v>149</v>
      </c>
      <c r="E2674" s="37" t="s">
        <v>147</v>
      </c>
      <c r="F2674" s="37"/>
    </row>
    <row r="2675" spans="1:6" x14ac:dyDescent="0.2">
      <c r="A2675" s="36" t="s">
        <v>4198</v>
      </c>
      <c r="B2675" s="31" t="s">
        <v>4197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5266</v>
      </c>
    </row>
    <row r="2677" spans="1:6" x14ac:dyDescent="0.2">
      <c r="A2677" s="36" t="s">
        <v>4200</v>
      </c>
      <c r="B2677" s="31" t="s">
        <v>4199</v>
      </c>
      <c r="D2677" s="31" t="s">
        <v>149</v>
      </c>
      <c r="E2677" s="37"/>
      <c r="F2677" s="37"/>
    </row>
    <row r="2678" spans="1:6" x14ac:dyDescent="0.2">
      <c r="A2678" s="36" t="s">
        <v>4202</v>
      </c>
      <c r="B2678" s="31" t="s">
        <v>4201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4203</v>
      </c>
      <c r="B2679" s="31" t="s">
        <v>4201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4204</v>
      </c>
      <c r="B2680" s="31" t="s">
        <v>4201</v>
      </c>
      <c r="C2680" s="37"/>
      <c r="D2680" s="31" t="s">
        <v>149</v>
      </c>
      <c r="E2680" s="37"/>
      <c r="F2680" s="37"/>
    </row>
    <row r="2681" spans="1:6" x14ac:dyDescent="0.2">
      <c r="A2681" s="36" t="s">
        <v>5412</v>
      </c>
      <c r="B2681" s="31" t="s">
        <v>4205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4206</v>
      </c>
      <c r="B2682" s="31" t="s">
        <v>4205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4207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4209</v>
      </c>
      <c r="B2684" s="31" t="s">
        <v>4208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4211</v>
      </c>
      <c r="B2685" s="31" t="s">
        <v>4210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4213</v>
      </c>
      <c r="B2686" s="31" t="s">
        <v>4212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4215</v>
      </c>
      <c r="B2687" s="31" t="s">
        <v>4214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4217</v>
      </c>
      <c r="B2688" s="31" t="s">
        <v>4216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4219</v>
      </c>
      <c r="B2689" s="31" t="s">
        <v>4218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4221</v>
      </c>
      <c r="B2690" s="31" t="s">
        <v>4220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4222</v>
      </c>
      <c r="B2691" s="31" t="s">
        <v>4220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4223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4225</v>
      </c>
      <c r="B2693" s="31" t="s">
        <v>4224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4227</v>
      </c>
      <c r="B2694" s="31" t="s">
        <v>4226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4229</v>
      </c>
      <c r="B2695" s="31" t="s">
        <v>4228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4230</v>
      </c>
      <c r="B2696" s="31" t="s">
        <v>4228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4231</v>
      </c>
      <c r="B2697" s="31" t="s">
        <v>4228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4233</v>
      </c>
      <c r="B2698" s="31" t="s">
        <v>4232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4235</v>
      </c>
      <c r="B2699" s="31" t="s">
        <v>4234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4236</v>
      </c>
      <c r="B2700" s="31" t="s">
        <v>4234</v>
      </c>
      <c r="C2700" s="37"/>
      <c r="D2700" s="31" t="s">
        <v>149</v>
      </c>
      <c r="E2700" s="37"/>
      <c r="F2700" s="37"/>
    </row>
    <row r="2701" spans="1:7" x14ac:dyDescent="0.2">
      <c r="A2701" s="36" t="s">
        <v>4237</v>
      </c>
      <c r="B2701" s="31" t="s">
        <v>4234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5267</v>
      </c>
    </row>
    <row r="2703" spans="1:7" x14ac:dyDescent="0.2">
      <c r="A2703" s="36" t="s">
        <v>4239</v>
      </c>
      <c r="B2703" s="31" t="s">
        <v>4238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4240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4242</v>
      </c>
      <c r="B2705" s="31" t="s">
        <v>4241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4244</v>
      </c>
      <c r="B2706" s="31" t="s">
        <v>4243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4246</v>
      </c>
      <c r="B2707" s="31" t="s">
        <v>4245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4247</v>
      </c>
      <c r="B2708" s="31" t="s">
        <v>4245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4248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4250</v>
      </c>
      <c r="B2710" s="31" t="s">
        <v>4249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4252</v>
      </c>
      <c r="B2711" s="31" t="s">
        <v>4251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5268</v>
      </c>
    </row>
    <row r="2713" spans="1:6" x14ac:dyDescent="0.2">
      <c r="A2713" s="36" t="s">
        <v>4254</v>
      </c>
      <c r="B2713" s="31" t="s">
        <v>4253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5269</v>
      </c>
    </row>
    <row r="2715" spans="1:6" x14ac:dyDescent="0.2">
      <c r="A2715" s="36" t="s">
        <v>4256</v>
      </c>
      <c r="B2715" s="31" t="s">
        <v>4255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4258</v>
      </c>
      <c r="B2716" s="31" t="s">
        <v>4257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4260</v>
      </c>
      <c r="B2717" s="31" t="s">
        <v>4259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5270</v>
      </c>
    </row>
    <row r="2719" spans="1:6" x14ac:dyDescent="0.2">
      <c r="A2719" s="36" t="s">
        <v>4262</v>
      </c>
      <c r="B2719" s="31" t="s">
        <v>4261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5271</v>
      </c>
    </row>
    <row r="2721" spans="1:6" x14ac:dyDescent="0.2">
      <c r="A2721" s="36" t="s">
        <v>4264</v>
      </c>
      <c r="B2721" s="31" t="s">
        <v>4263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4266</v>
      </c>
      <c r="B2722" s="31" t="s">
        <v>4265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4268</v>
      </c>
      <c r="B2723" s="31" t="s">
        <v>4267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4270</v>
      </c>
      <c r="B2724" s="31" t="s">
        <v>4269</v>
      </c>
      <c r="C2724" s="37"/>
      <c r="D2724" s="31" t="s">
        <v>149</v>
      </c>
      <c r="E2724" s="37"/>
      <c r="F2724" s="37"/>
    </row>
    <row r="2725" spans="1:6" x14ac:dyDescent="0.2">
      <c r="A2725" s="36" t="s">
        <v>4272</v>
      </c>
      <c r="B2725" s="31" t="s">
        <v>4271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4274</v>
      </c>
      <c r="B2726" s="31" t="s">
        <v>4273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4276</v>
      </c>
      <c r="B2727" s="31" t="s">
        <v>4275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4278</v>
      </c>
      <c r="B2728" s="31" t="s">
        <v>4277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5272</v>
      </c>
    </row>
    <row r="2730" spans="1:6" x14ac:dyDescent="0.2">
      <c r="A2730" s="36" t="s">
        <v>4280</v>
      </c>
      <c r="B2730" s="31" t="s">
        <v>4279</v>
      </c>
      <c r="C2730" s="37"/>
      <c r="D2730" s="31" t="s">
        <v>189</v>
      </c>
      <c r="E2730" s="37"/>
      <c r="F2730" s="37"/>
    </row>
    <row r="2731" spans="1:6" x14ac:dyDescent="0.2">
      <c r="A2731" s="36" t="s">
        <v>4282</v>
      </c>
      <c r="B2731" s="31" t="s">
        <v>4281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5273</v>
      </c>
    </row>
    <row r="2733" spans="1:6" x14ac:dyDescent="0.2">
      <c r="A2733" s="36" t="s">
        <v>4284</v>
      </c>
      <c r="B2733" s="31" t="s">
        <v>4283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5274</v>
      </c>
    </row>
    <row r="2735" spans="1:6" x14ac:dyDescent="0.2">
      <c r="A2735" s="36" t="s">
        <v>4286</v>
      </c>
      <c r="B2735" s="31" t="s">
        <v>4285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5275</v>
      </c>
    </row>
    <row r="2737" spans="1:7" x14ac:dyDescent="0.2">
      <c r="A2737" s="36" t="s">
        <v>4288</v>
      </c>
      <c r="B2737" s="31" t="s">
        <v>4287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5276</v>
      </c>
    </row>
    <row r="2739" spans="1:7" x14ac:dyDescent="0.2">
      <c r="A2739" s="36" t="s">
        <v>4290</v>
      </c>
      <c r="B2739" s="31" t="s">
        <v>4289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4292</v>
      </c>
      <c r="B2740" s="31" t="s">
        <v>4291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5277</v>
      </c>
    </row>
    <row r="2742" spans="1:7" x14ac:dyDescent="0.2">
      <c r="A2742" s="36" t="s">
        <v>4294</v>
      </c>
      <c r="B2742" s="31" t="s">
        <v>4293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4295</v>
      </c>
      <c r="B2743" s="31" t="s">
        <v>4293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4296</v>
      </c>
      <c r="B2744" s="31" t="s">
        <v>4293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5278</v>
      </c>
    </row>
    <row r="2746" spans="1:7" x14ac:dyDescent="0.2">
      <c r="A2746" s="36" t="s">
        <v>4297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4299</v>
      </c>
      <c r="B2747" s="31" t="s">
        <v>4298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4300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4302</v>
      </c>
      <c r="B2749" s="31" t="s">
        <v>4301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4304</v>
      </c>
      <c r="B2750" s="31" t="s">
        <v>4303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4306</v>
      </c>
      <c r="B2751" s="31" t="s">
        <v>4305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4307</v>
      </c>
      <c r="B2752" s="31" t="s">
        <v>4305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4308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4310</v>
      </c>
      <c r="B2754" s="31" t="s">
        <v>4309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4312</v>
      </c>
      <c r="B2755" s="31" t="s">
        <v>4311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5279</v>
      </c>
    </row>
    <row r="2757" spans="1:6" x14ac:dyDescent="0.2">
      <c r="A2757" s="36" t="s">
        <v>4314</v>
      </c>
      <c r="B2757" s="31" t="s">
        <v>4313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5280</v>
      </c>
    </row>
    <row r="2759" spans="1:6" x14ac:dyDescent="0.2">
      <c r="A2759" s="36" t="s">
        <v>4315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4317</v>
      </c>
      <c r="B2760" s="31" t="s">
        <v>4316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4319</v>
      </c>
      <c r="B2761" s="31" t="s">
        <v>4318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4321</v>
      </c>
      <c r="B2762" s="31" t="s">
        <v>4320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4323</v>
      </c>
      <c r="B2763" s="31" t="s">
        <v>4322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5281</v>
      </c>
    </row>
    <row r="2765" spans="1:6" x14ac:dyDescent="0.2">
      <c r="A2765" s="36" t="s">
        <v>4324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4326</v>
      </c>
      <c r="B2766" s="31" t="s">
        <v>4325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4328</v>
      </c>
      <c r="B2767" s="31" t="s">
        <v>4327</v>
      </c>
      <c r="C2767" s="37"/>
      <c r="D2767" s="31" t="s">
        <v>149</v>
      </c>
      <c r="E2767" s="37"/>
      <c r="F2767" s="37"/>
    </row>
    <row r="2768" spans="1:6" x14ac:dyDescent="0.2">
      <c r="A2768" s="36" t="s">
        <v>4330</v>
      </c>
      <c r="B2768" s="31" t="s">
        <v>4329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4331</v>
      </c>
      <c r="B2769" s="31" t="s">
        <v>4329</v>
      </c>
      <c r="C2769" s="37"/>
      <c r="D2769" s="31" t="s">
        <v>149</v>
      </c>
      <c r="E2769" s="37"/>
      <c r="F2769" s="37"/>
    </row>
    <row r="2770" spans="1:7" x14ac:dyDescent="0.2">
      <c r="A2770" s="36" t="s">
        <v>4332</v>
      </c>
      <c r="B2770" s="31" t="s">
        <v>4329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5282</v>
      </c>
    </row>
    <row r="2772" spans="1:7" x14ac:dyDescent="0.2">
      <c r="A2772" s="36" t="s">
        <v>4334</v>
      </c>
      <c r="B2772" s="31" t="s">
        <v>4333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5283</v>
      </c>
    </row>
    <row r="2774" spans="1:7" x14ac:dyDescent="0.2">
      <c r="A2774" s="36" t="s">
        <v>4336</v>
      </c>
      <c r="B2774" s="31" t="s">
        <v>4335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4338</v>
      </c>
      <c r="B2775" s="31" t="s">
        <v>4337</v>
      </c>
      <c r="C2775" s="37"/>
      <c r="D2775" s="31" t="s">
        <v>149</v>
      </c>
      <c r="E2775" s="37"/>
      <c r="F2775" s="37"/>
    </row>
    <row r="2776" spans="1:7" x14ac:dyDescent="0.2">
      <c r="A2776" s="36" t="s">
        <v>4339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4341</v>
      </c>
      <c r="B2777" s="31" t="s">
        <v>4340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4343</v>
      </c>
      <c r="B2778" s="31" t="s">
        <v>4342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4345</v>
      </c>
      <c r="B2779" s="31" t="s">
        <v>4344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4347</v>
      </c>
      <c r="B2780" s="31" t="s">
        <v>4346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4348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4350</v>
      </c>
      <c r="B2782" s="31" t="s">
        <v>4349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4352</v>
      </c>
      <c r="B2783" s="31" t="s">
        <v>4351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5284</v>
      </c>
    </row>
    <row r="2785" spans="1:7" x14ac:dyDescent="0.2">
      <c r="A2785" s="36" t="s">
        <v>4354</v>
      </c>
      <c r="B2785" s="31" t="s">
        <v>4353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4356</v>
      </c>
      <c r="B2786" s="31" t="s">
        <v>4355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5285</v>
      </c>
    </row>
    <row r="2788" spans="1:7" x14ac:dyDescent="0.2">
      <c r="A2788" s="36" t="s">
        <v>4357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4359</v>
      </c>
      <c r="B2789" s="31" t="s">
        <v>4358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5286</v>
      </c>
    </row>
    <row r="2791" spans="1:7" x14ac:dyDescent="0.2">
      <c r="A2791" s="36" t="s">
        <v>4361</v>
      </c>
      <c r="B2791" s="31" t="s">
        <v>4360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4362</v>
      </c>
      <c r="B2792" s="31" t="s">
        <v>4360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4363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4365</v>
      </c>
      <c r="B2794" s="31" t="s">
        <v>4364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5287</v>
      </c>
    </row>
    <row r="2796" spans="1:7" x14ac:dyDescent="0.2">
      <c r="A2796" s="36" t="s">
        <v>4367</v>
      </c>
      <c r="B2796" s="31" t="s">
        <v>4366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4369</v>
      </c>
      <c r="B2797" s="31" t="s">
        <v>4368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5288</v>
      </c>
    </row>
    <row r="2799" spans="1:7" x14ac:dyDescent="0.2">
      <c r="A2799" s="36" t="s">
        <v>4370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4372</v>
      </c>
      <c r="B2800" s="31" t="s">
        <v>4371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5289</v>
      </c>
    </row>
    <row r="2802" spans="1:7" ht="15" x14ac:dyDescent="0.25">
      <c r="A2802" s="60" t="s">
        <v>5290</v>
      </c>
    </row>
    <row r="2803" spans="1:7" x14ac:dyDescent="0.2">
      <c r="A2803" s="36" t="s">
        <v>4374</v>
      </c>
      <c r="B2803" s="31" t="s">
        <v>4373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4376</v>
      </c>
      <c r="B2804" s="31" t="s">
        <v>4375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4378</v>
      </c>
      <c r="B2805" s="31" t="s">
        <v>4377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5291</v>
      </c>
    </row>
    <row r="2807" spans="1:7" x14ac:dyDescent="0.2">
      <c r="A2807" s="36" t="s">
        <v>4380</v>
      </c>
      <c r="B2807" s="31" t="s">
        <v>4379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4382</v>
      </c>
      <c r="B2808" s="31" t="s">
        <v>4381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4384</v>
      </c>
      <c r="B2809" s="31" t="s">
        <v>4383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4386</v>
      </c>
      <c r="B2810" s="31" t="s">
        <v>4385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4389</v>
      </c>
      <c r="B2812" s="31" t="s">
        <v>4388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4391</v>
      </c>
      <c r="B2813" s="31" t="s">
        <v>4390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4392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4393</v>
      </c>
      <c r="B2815" s="31" t="s">
        <v>4390</v>
      </c>
      <c r="D2815" s="31" t="s">
        <v>149</v>
      </c>
      <c r="E2815" s="37"/>
      <c r="F2815" s="37"/>
    </row>
    <row r="2816" spans="1:7" x14ac:dyDescent="0.2">
      <c r="A2816" s="36" t="s">
        <v>4395</v>
      </c>
      <c r="B2816" s="31" t="s">
        <v>4394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4397</v>
      </c>
      <c r="B2817" s="31" t="s">
        <v>4396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4399</v>
      </c>
      <c r="B2818" s="31" t="s">
        <v>4398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4401</v>
      </c>
      <c r="B2819" s="31" t="s">
        <v>4400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4403</v>
      </c>
      <c r="B2820" s="31" t="s">
        <v>4402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4404</v>
      </c>
      <c r="B2821" s="31" t="s">
        <v>4402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4406</v>
      </c>
      <c r="B2822" s="31" t="s">
        <v>4405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4408</v>
      </c>
      <c r="B2823" s="31" t="s">
        <v>4407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4409</v>
      </c>
      <c r="C2824" s="37"/>
      <c r="D2824" s="31" t="s">
        <v>149</v>
      </c>
      <c r="E2824" s="37"/>
      <c r="F2824" s="37"/>
    </row>
    <row r="2825" spans="1:7" x14ac:dyDescent="0.2">
      <c r="A2825" s="36" t="s">
        <v>4411</v>
      </c>
      <c r="B2825" s="31" t="s">
        <v>4410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4412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4414</v>
      </c>
      <c r="B2827" s="31" t="s">
        <v>4413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4416</v>
      </c>
      <c r="B2828" s="31" t="s">
        <v>4415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4418</v>
      </c>
      <c r="B2829" s="31" t="s">
        <v>4417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4419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4421</v>
      </c>
      <c r="B2831" s="31" t="s">
        <v>4420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4423</v>
      </c>
      <c r="B2832" s="31" t="s">
        <v>4422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4425</v>
      </c>
      <c r="B2833" s="31" t="s">
        <v>4424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4426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4427</v>
      </c>
      <c r="B2835" s="31" t="s">
        <v>4424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4429</v>
      </c>
      <c r="B2836" s="31" t="s">
        <v>4428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4431</v>
      </c>
      <c r="B2837" s="31" t="s">
        <v>4430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4432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4434</v>
      </c>
      <c r="B2839" s="31" t="s">
        <v>4433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4436</v>
      </c>
      <c r="B2840" s="31" t="s">
        <v>4435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4438</v>
      </c>
      <c r="B2841" s="31" t="s">
        <v>4437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60" t="s">
        <v>5292</v>
      </c>
    </row>
    <row r="2843" spans="1:7" x14ac:dyDescent="0.2">
      <c r="A2843" s="36" t="s">
        <v>4440</v>
      </c>
      <c r="B2843" s="31" t="s">
        <v>4439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4442</v>
      </c>
      <c r="B2844" s="31" t="s">
        <v>4441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4444</v>
      </c>
      <c r="B2845" s="31" t="s">
        <v>4443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4446</v>
      </c>
      <c r="B2846" s="31" t="s">
        <v>4445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5293</v>
      </c>
    </row>
    <row r="2848" spans="1:7" x14ac:dyDescent="0.2">
      <c r="A2848" s="36" t="s">
        <v>4448</v>
      </c>
      <c r="B2848" s="31" t="s">
        <v>4447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5294</v>
      </c>
    </row>
    <row r="2850" spans="1:7" x14ac:dyDescent="0.2">
      <c r="A2850" s="36" t="s">
        <v>4450</v>
      </c>
      <c r="B2850" s="31" t="s">
        <v>4449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5295</v>
      </c>
    </row>
    <row r="2852" spans="1:7" x14ac:dyDescent="0.2">
      <c r="A2852" s="36" t="s">
        <v>4452</v>
      </c>
      <c r="B2852" s="31" t="s">
        <v>4451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5296</v>
      </c>
    </row>
    <row r="2854" spans="1:7" x14ac:dyDescent="0.2">
      <c r="A2854" s="36" t="s">
        <v>4454</v>
      </c>
      <c r="B2854" s="31" t="s">
        <v>4453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4456</v>
      </c>
      <c r="B2855" s="31" t="s">
        <v>4455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4458</v>
      </c>
      <c r="B2856" s="31" t="s">
        <v>4457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5297</v>
      </c>
    </row>
    <row r="2858" spans="1:7" x14ac:dyDescent="0.2">
      <c r="A2858" s="36" t="s">
        <v>4460</v>
      </c>
      <c r="B2858" s="31" t="s">
        <v>4459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5298</v>
      </c>
    </row>
    <row r="2860" spans="1:7" x14ac:dyDescent="0.2">
      <c r="A2860" s="36" t="s">
        <v>4462</v>
      </c>
      <c r="B2860" s="31" t="s">
        <v>4461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5299</v>
      </c>
    </row>
    <row r="2862" spans="1:7" ht="15" x14ac:dyDescent="0.25">
      <c r="A2862" s="60" t="s">
        <v>5300</v>
      </c>
    </row>
    <row r="2863" spans="1:7" x14ac:dyDescent="0.2">
      <c r="A2863" s="36" t="s">
        <v>4464</v>
      </c>
      <c r="B2863" s="31" t="s">
        <v>4463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4466</v>
      </c>
      <c r="B2864" s="31" t="s">
        <v>4465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4467</v>
      </c>
      <c r="B2865" s="31" t="s">
        <v>4465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4468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5301</v>
      </c>
    </row>
    <row r="2868" spans="1:7" x14ac:dyDescent="0.2">
      <c r="A2868" s="36" t="s">
        <v>4470</v>
      </c>
      <c r="B2868" s="31" t="s">
        <v>4469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4472</v>
      </c>
      <c r="B2869" s="31" t="s">
        <v>4471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4474</v>
      </c>
      <c r="B2870" s="31" t="s">
        <v>4473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5302</v>
      </c>
    </row>
    <row r="2872" spans="1:7" x14ac:dyDescent="0.2">
      <c r="A2872" s="36" t="s">
        <v>4476</v>
      </c>
      <c r="B2872" s="31" t="s">
        <v>4475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4478</v>
      </c>
      <c r="B2873" s="31" t="s">
        <v>4477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4480</v>
      </c>
      <c r="B2874" s="31" t="s">
        <v>4479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5303</v>
      </c>
    </row>
    <row r="2876" spans="1:7" x14ac:dyDescent="0.2">
      <c r="A2876" s="36" t="s">
        <v>4481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4483</v>
      </c>
      <c r="B2877" s="31" t="s">
        <v>4482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5304</v>
      </c>
    </row>
    <row r="2879" spans="1:7" x14ac:dyDescent="0.2">
      <c r="A2879" s="36" t="s">
        <v>4485</v>
      </c>
      <c r="B2879" s="31" t="s">
        <v>4484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5305</v>
      </c>
    </row>
    <row r="2881" spans="1:7" x14ac:dyDescent="0.2">
      <c r="A2881" s="36" t="s">
        <v>4487</v>
      </c>
      <c r="B2881" s="31" t="s">
        <v>4486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5306</v>
      </c>
    </row>
    <row r="2883" spans="1:7" x14ac:dyDescent="0.2">
      <c r="A2883" s="37" t="s">
        <v>4489</v>
      </c>
      <c r="B2883" s="40" t="s">
        <v>4488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5307</v>
      </c>
    </row>
    <row r="2885" spans="1:7" x14ac:dyDescent="0.2">
      <c r="A2885" s="36" t="s">
        <v>4491</v>
      </c>
      <c r="B2885" s="31" t="s">
        <v>4490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5308</v>
      </c>
    </row>
    <row r="2887" spans="1:7" x14ac:dyDescent="0.2">
      <c r="A2887" s="36" t="s">
        <v>4493</v>
      </c>
      <c r="B2887" s="31" t="s">
        <v>4492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5309</v>
      </c>
    </row>
    <row r="2889" spans="1:7" x14ac:dyDescent="0.2">
      <c r="A2889" s="36" t="s">
        <v>4495</v>
      </c>
      <c r="B2889" s="31" t="s">
        <v>4494</v>
      </c>
      <c r="C2889" s="37"/>
      <c r="D2889" s="31" t="s">
        <v>1297</v>
      </c>
      <c r="E2889" s="37"/>
      <c r="F2889" s="37"/>
    </row>
    <row r="2890" spans="1:7" x14ac:dyDescent="0.2">
      <c r="A2890" s="36" t="s">
        <v>4496</v>
      </c>
      <c r="B2890" s="31" t="s">
        <v>4494</v>
      </c>
      <c r="C2890" s="37"/>
      <c r="D2890" s="31" t="s">
        <v>1289</v>
      </c>
      <c r="E2890" s="37"/>
      <c r="F2890" s="37"/>
    </row>
    <row r="2891" spans="1:7" x14ac:dyDescent="0.2">
      <c r="A2891" s="36" t="s">
        <v>4497</v>
      </c>
      <c r="B2891" s="31" t="s">
        <v>4494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5310</v>
      </c>
    </row>
    <row r="2893" spans="1:7" x14ac:dyDescent="0.2">
      <c r="A2893" s="36" t="s">
        <v>4499</v>
      </c>
      <c r="B2893" s="31" t="s">
        <v>4498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5311</v>
      </c>
    </row>
    <row r="2895" spans="1:7" x14ac:dyDescent="0.2">
      <c r="A2895" s="36" t="s">
        <v>4501</v>
      </c>
      <c r="B2895" s="31" t="s">
        <v>4500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4502</v>
      </c>
      <c r="B2896" s="31" t="s">
        <v>4500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4503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5312</v>
      </c>
    </row>
    <row r="2899" spans="1:7" x14ac:dyDescent="0.2">
      <c r="A2899" s="36" t="s">
        <v>4504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4505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4507</v>
      </c>
      <c r="B2901" s="31" t="s">
        <v>4506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5313</v>
      </c>
    </row>
    <row r="2903" spans="1:7" x14ac:dyDescent="0.2">
      <c r="A2903" s="36" t="s">
        <v>4509</v>
      </c>
      <c r="B2903" s="31" t="s">
        <v>4508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4511</v>
      </c>
      <c r="B2904" s="31" t="s">
        <v>4510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4512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4514</v>
      </c>
      <c r="B2906" s="31" t="s">
        <v>4513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4516</v>
      </c>
      <c r="B2907" s="31" t="s">
        <v>4515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5314</v>
      </c>
    </row>
    <row r="2909" spans="1:7" x14ac:dyDescent="0.2">
      <c r="A2909" s="36" t="s">
        <v>4518</v>
      </c>
      <c r="B2909" s="31" t="s">
        <v>4517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4520</v>
      </c>
      <c r="B2910" s="31" t="s">
        <v>4519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5315</v>
      </c>
    </row>
    <row r="2912" spans="1:7" x14ac:dyDescent="0.2">
      <c r="A2912" s="36" t="s">
        <v>4522</v>
      </c>
      <c r="B2912" s="31" t="s">
        <v>4521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5316</v>
      </c>
    </row>
    <row r="2914" spans="1:7" x14ac:dyDescent="0.2">
      <c r="A2914" s="36" t="s">
        <v>4524</v>
      </c>
      <c r="B2914" s="31" t="s">
        <v>4523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5317</v>
      </c>
    </row>
    <row r="2916" spans="1:7" ht="15" x14ac:dyDescent="0.25">
      <c r="A2916" s="60" t="s">
        <v>5318</v>
      </c>
    </row>
    <row r="2917" spans="1:7" x14ac:dyDescent="0.2">
      <c r="A2917" s="36" t="s">
        <v>4526</v>
      </c>
      <c r="B2917" s="31" t="s">
        <v>4525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4528</v>
      </c>
      <c r="B2918" s="31" t="s">
        <v>4527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4530</v>
      </c>
      <c r="B2919" s="31" t="s">
        <v>4529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4532</v>
      </c>
      <c r="B2920" s="31" t="s">
        <v>4531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5319</v>
      </c>
    </row>
    <row r="2922" spans="1:7" x14ac:dyDescent="0.2">
      <c r="A2922" s="36" t="s">
        <v>4534</v>
      </c>
      <c r="B2922" s="31" t="s">
        <v>4533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5320</v>
      </c>
    </row>
    <row r="2924" spans="1:7" x14ac:dyDescent="0.2">
      <c r="A2924" s="36" t="s">
        <v>4536</v>
      </c>
      <c r="B2924" s="31" t="s">
        <v>4535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4538</v>
      </c>
      <c r="B2925" s="31" t="s">
        <v>4537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4540</v>
      </c>
      <c r="B2926" s="31" t="s">
        <v>4539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4542</v>
      </c>
      <c r="B2927" s="31" t="s">
        <v>4541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4544</v>
      </c>
      <c r="B2928" s="31" t="s">
        <v>4543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4546</v>
      </c>
      <c r="B2929" s="31" t="s">
        <v>4545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4548</v>
      </c>
      <c r="B2930" s="31" t="s">
        <v>4547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5321</v>
      </c>
    </row>
    <row r="2932" spans="1:7" x14ac:dyDescent="0.2">
      <c r="A2932" s="36" t="s">
        <v>4550</v>
      </c>
      <c r="B2932" s="31" t="s">
        <v>4549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4552</v>
      </c>
      <c r="B2933" s="31" t="s">
        <v>4551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5322</v>
      </c>
    </row>
    <row r="2935" spans="1:7" x14ac:dyDescent="0.2">
      <c r="A2935" s="36" t="s">
        <v>4554</v>
      </c>
      <c r="B2935" s="31" t="s">
        <v>4553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4556</v>
      </c>
      <c r="B2936" s="31" t="s">
        <v>4555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4558</v>
      </c>
      <c r="B2937" s="31" t="s">
        <v>4557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4560</v>
      </c>
      <c r="B2938" s="31" t="s">
        <v>4559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5323</v>
      </c>
    </row>
    <row r="2940" spans="1:7" x14ac:dyDescent="0.2">
      <c r="A2940" s="36" t="s">
        <v>4562</v>
      </c>
      <c r="B2940" s="31" t="s">
        <v>4561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4564</v>
      </c>
      <c r="B2941" s="31" t="s">
        <v>4563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5324</v>
      </c>
    </row>
    <row r="2943" spans="1:7" x14ac:dyDescent="0.2">
      <c r="A2943" s="36" t="s">
        <v>4566</v>
      </c>
      <c r="B2943" s="31" t="s">
        <v>4565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4568</v>
      </c>
      <c r="B2944" s="31" t="s">
        <v>4567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5325</v>
      </c>
    </row>
    <row r="2946" spans="1:7" x14ac:dyDescent="0.2">
      <c r="A2946" s="36" t="s">
        <v>4569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4571</v>
      </c>
      <c r="B2947" s="31" t="s">
        <v>4570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5326</v>
      </c>
    </row>
    <row r="2949" spans="1:7" x14ac:dyDescent="0.2">
      <c r="A2949" s="36" t="s">
        <v>4573</v>
      </c>
      <c r="B2949" s="31" t="s">
        <v>4572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5327</v>
      </c>
    </row>
    <row r="2951" spans="1:7" x14ac:dyDescent="0.2">
      <c r="A2951" s="36" t="s">
        <v>4575</v>
      </c>
      <c r="B2951" s="31" t="s">
        <v>4574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5328</v>
      </c>
    </row>
    <row r="2953" spans="1:7" x14ac:dyDescent="0.2">
      <c r="A2953" s="36" t="s">
        <v>4577</v>
      </c>
      <c r="B2953" s="31" t="s">
        <v>4576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5329</v>
      </c>
    </row>
    <row r="2955" spans="1:7" x14ac:dyDescent="0.2">
      <c r="A2955" s="36" t="s">
        <v>4579</v>
      </c>
      <c r="B2955" s="31" t="s">
        <v>4578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5330</v>
      </c>
    </row>
    <row r="2957" spans="1:7" x14ac:dyDescent="0.2">
      <c r="A2957" s="36" t="s">
        <v>4581</v>
      </c>
      <c r="B2957" s="31" t="s">
        <v>4580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4583</v>
      </c>
      <c r="B2958" s="31" t="s">
        <v>4582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5331</v>
      </c>
    </row>
    <row r="2960" spans="1:7" x14ac:dyDescent="0.2">
      <c r="A2960" s="36" t="s">
        <v>4585</v>
      </c>
      <c r="B2960" s="31" t="s">
        <v>4584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4587</v>
      </c>
      <c r="B2961" s="31" t="s">
        <v>4586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4589</v>
      </c>
      <c r="B2962" s="31" t="s">
        <v>4588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4591</v>
      </c>
      <c r="B2963" s="31" t="s">
        <v>4590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5332</v>
      </c>
    </row>
    <row r="2965" spans="1:7" x14ac:dyDescent="0.2">
      <c r="A2965" s="36" t="s">
        <v>4593</v>
      </c>
      <c r="B2965" s="31" t="s">
        <v>4592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4594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4596</v>
      </c>
      <c r="B2967" s="31" t="s">
        <v>4595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5333</v>
      </c>
    </row>
    <row r="2969" spans="1:7" x14ac:dyDescent="0.2">
      <c r="A2969" s="36" t="s">
        <v>4598</v>
      </c>
      <c r="B2969" s="31" t="s">
        <v>4597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4600</v>
      </c>
      <c r="B2970" s="31" t="s">
        <v>4599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4602</v>
      </c>
      <c r="B2971" s="31" t="s">
        <v>4601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4604</v>
      </c>
      <c r="B2972" s="31" t="s">
        <v>4603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4606</v>
      </c>
      <c r="B2973" s="31" t="s">
        <v>4605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4608</v>
      </c>
      <c r="B2974" s="31" t="s">
        <v>4607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4610</v>
      </c>
      <c r="B2975" s="31" t="s">
        <v>4609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5334</v>
      </c>
    </row>
    <row r="2977" spans="1:7" x14ac:dyDescent="0.2">
      <c r="A2977" s="36" t="s">
        <v>4612</v>
      </c>
      <c r="B2977" s="31" t="s">
        <v>4611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4614</v>
      </c>
      <c r="B2978" s="31" t="s">
        <v>4613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4616</v>
      </c>
      <c r="B2979" s="31" t="s">
        <v>4615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5335</v>
      </c>
    </row>
    <row r="2981" spans="1:7" x14ac:dyDescent="0.2">
      <c r="A2981" s="36" t="s">
        <v>4618</v>
      </c>
      <c r="B2981" s="31" t="s">
        <v>4617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5336</v>
      </c>
    </row>
    <row r="2983" spans="1:7" x14ac:dyDescent="0.2">
      <c r="A2983" s="36" t="s">
        <v>4620</v>
      </c>
      <c r="B2983" s="31" t="s">
        <v>4619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4621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4623</v>
      </c>
      <c r="B2985" s="31" t="s">
        <v>4622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4625</v>
      </c>
      <c r="B2986" s="31" t="s">
        <v>4624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4627</v>
      </c>
      <c r="B2987" s="31" t="s">
        <v>4626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5337</v>
      </c>
    </row>
    <row r="2989" spans="1:7" x14ac:dyDescent="0.2">
      <c r="A2989" s="36" t="s">
        <v>4629</v>
      </c>
      <c r="B2989" s="31" t="s">
        <v>4628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4631</v>
      </c>
      <c r="B2990" s="31" t="s">
        <v>4630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4632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4634</v>
      </c>
      <c r="B2992" s="31" t="s">
        <v>4633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4636</v>
      </c>
      <c r="B2993" s="31" t="s">
        <v>4635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5338</v>
      </c>
    </row>
    <row r="2995" spans="1:7" x14ac:dyDescent="0.2">
      <c r="A2995" s="36" t="s">
        <v>4638</v>
      </c>
      <c r="B2995" s="31" t="s">
        <v>4637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5339</v>
      </c>
    </row>
    <row r="2997" spans="1:7" x14ac:dyDescent="0.2">
      <c r="A2997" s="36" t="s">
        <v>4640</v>
      </c>
      <c r="B2997" s="31" t="s">
        <v>4639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5340</v>
      </c>
    </row>
    <row r="2999" spans="1:7" x14ac:dyDescent="0.2">
      <c r="A2999" s="36" t="s">
        <v>4642</v>
      </c>
      <c r="B2999" s="31" t="s">
        <v>4641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4644</v>
      </c>
      <c r="B3000" s="31" t="s">
        <v>4643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4646</v>
      </c>
      <c r="B3001" s="31" t="s">
        <v>4645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4648</v>
      </c>
      <c r="B3002" s="31" t="s">
        <v>4647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5341</v>
      </c>
    </row>
    <row r="3004" spans="1:7" x14ac:dyDescent="0.2">
      <c r="A3004" s="36" t="s">
        <v>4650</v>
      </c>
      <c r="B3004" s="31" t="s">
        <v>4649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4652</v>
      </c>
      <c r="B3005" s="31" t="s">
        <v>4651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4654</v>
      </c>
      <c r="B3006" s="31" t="s">
        <v>4653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4656</v>
      </c>
      <c r="B3007" s="31" t="s">
        <v>4655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4658</v>
      </c>
      <c r="B3008" s="31" t="s">
        <v>4657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4660</v>
      </c>
      <c r="B3009" s="31" t="s">
        <v>4659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5342</v>
      </c>
    </row>
    <row r="3011" spans="1:6" x14ac:dyDescent="0.2">
      <c r="A3011" s="36" t="s">
        <v>4662</v>
      </c>
      <c r="B3011" s="31" t="s">
        <v>4661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4664</v>
      </c>
      <c r="B3012" s="31" t="s">
        <v>4663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4666</v>
      </c>
      <c r="B3013" s="31" t="s">
        <v>4665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4668</v>
      </c>
      <c r="B3014" s="31" t="s">
        <v>4667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4670</v>
      </c>
      <c r="B3015" s="31" t="s">
        <v>4669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4672</v>
      </c>
      <c r="B3016" s="31" t="s">
        <v>4671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4673</v>
      </c>
      <c r="B3017" s="31" t="s">
        <v>4671</v>
      </c>
      <c r="C3017" s="37"/>
      <c r="D3017" s="31" t="s">
        <v>149</v>
      </c>
      <c r="E3017" s="37"/>
      <c r="F3017" s="37"/>
    </row>
    <row r="3018" spans="1:6" x14ac:dyDescent="0.2">
      <c r="A3018" s="36" t="s">
        <v>4674</v>
      </c>
      <c r="B3018" s="31" t="s">
        <v>4671</v>
      </c>
      <c r="C3018" s="37"/>
      <c r="D3018" s="31" t="s">
        <v>149</v>
      </c>
      <c r="E3018" s="37"/>
      <c r="F3018" s="37"/>
    </row>
    <row r="3019" spans="1:6" x14ac:dyDescent="0.2">
      <c r="A3019" s="36" t="s">
        <v>4676</v>
      </c>
      <c r="B3019" s="31" t="s">
        <v>4675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4678</v>
      </c>
      <c r="B3020" s="31" t="s">
        <v>4677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4680</v>
      </c>
      <c r="B3021" s="31" t="s">
        <v>4679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4681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4682</v>
      </c>
      <c r="B3023" s="31" t="s">
        <v>4679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5343</v>
      </c>
    </row>
    <row r="3025" spans="1:6" x14ac:dyDescent="0.2">
      <c r="A3025" s="36" t="s">
        <v>4684</v>
      </c>
      <c r="B3025" s="31" t="s">
        <v>4683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5344</v>
      </c>
    </row>
    <row r="3027" spans="1:6" x14ac:dyDescent="0.2">
      <c r="A3027" s="36" t="s">
        <v>4686</v>
      </c>
      <c r="B3027" s="31" t="s">
        <v>4685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4688</v>
      </c>
      <c r="B3028" s="31" t="s">
        <v>4687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4690</v>
      </c>
      <c r="B3029" s="31" t="s">
        <v>4689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4691</v>
      </c>
      <c r="C3030" s="37"/>
      <c r="D3030" s="31" t="s">
        <v>157</v>
      </c>
      <c r="E3030" s="37"/>
      <c r="F3030" s="37"/>
    </row>
    <row r="3031" spans="1:6" x14ac:dyDescent="0.2">
      <c r="A3031" s="36" t="s">
        <v>4692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4693</v>
      </c>
      <c r="C3032" s="37">
        <v>0</v>
      </c>
      <c r="D3032" s="31" t="s">
        <v>157</v>
      </c>
      <c r="E3032" s="37"/>
      <c r="F3032" s="37"/>
    </row>
    <row r="3033" spans="1:6" x14ac:dyDescent="0.2">
      <c r="A3033" s="36" t="s">
        <v>4695</v>
      </c>
      <c r="B3033" s="31" t="s">
        <v>4694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4696</v>
      </c>
      <c r="B3034" s="31" t="s">
        <v>4694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4697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5345</v>
      </c>
    </row>
    <row r="3037" spans="1:6" x14ac:dyDescent="0.2">
      <c r="A3037" s="36" t="s">
        <v>4699</v>
      </c>
      <c r="B3037" s="31" t="s">
        <v>4698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4700</v>
      </c>
      <c r="B3038" s="31" t="s">
        <v>4698</v>
      </c>
      <c r="C3038" s="37"/>
      <c r="D3038" s="31" t="s">
        <v>149</v>
      </c>
      <c r="E3038" s="37"/>
      <c r="F3038" s="37"/>
    </row>
    <row r="3039" spans="1:6" x14ac:dyDescent="0.2">
      <c r="A3039" s="36" t="s">
        <v>4701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4703</v>
      </c>
      <c r="B3040" s="31" t="s">
        <v>4702</v>
      </c>
      <c r="D3040" s="31" t="s">
        <v>149</v>
      </c>
      <c r="E3040" s="37"/>
      <c r="F3040" s="37"/>
    </row>
    <row r="3041" spans="1:7" x14ac:dyDescent="0.2">
      <c r="A3041" s="36" t="s">
        <v>4705</v>
      </c>
      <c r="B3041" s="31" t="s">
        <v>4704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4707</v>
      </c>
      <c r="B3042" s="31" t="s">
        <v>4706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5346</v>
      </c>
    </row>
    <row r="3044" spans="1:7" x14ac:dyDescent="0.2">
      <c r="A3044" s="36" t="s">
        <v>4709</v>
      </c>
      <c r="B3044" s="31" t="s">
        <v>4708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08" customFormat="1" x14ac:dyDescent="0.2">
      <c r="A3045" s="36" t="s">
        <v>5417</v>
      </c>
      <c r="B3045" s="108" t="s">
        <v>5418</v>
      </c>
      <c r="C3045" s="37">
        <v>0</v>
      </c>
      <c r="D3045" s="108" t="s">
        <v>149</v>
      </c>
      <c r="E3045" s="37" t="s">
        <v>152</v>
      </c>
      <c r="F3045" s="37"/>
    </row>
    <row r="3046" spans="1:7" x14ac:dyDescent="0.2">
      <c r="A3046" s="36" t="s">
        <v>4711</v>
      </c>
      <c r="B3046" s="31" t="s">
        <v>4710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4713</v>
      </c>
      <c r="B3047" s="31" t="s">
        <v>4712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4714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4716</v>
      </c>
      <c r="B3049" s="31" t="s">
        <v>4715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4718</v>
      </c>
      <c r="B3050" s="31" t="s">
        <v>4717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4720</v>
      </c>
      <c r="B3051" s="31" t="s">
        <v>4719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4721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4723</v>
      </c>
      <c r="B3053" s="31" t="s">
        <v>4722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4724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4726</v>
      </c>
      <c r="B3055" s="31" t="s">
        <v>4725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4728</v>
      </c>
      <c r="B3056" s="31" t="s">
        <v>4727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4730</v>
      </c>
      <c r="B3057" s="31" t="s">
        <v>4729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4732</v>
      </c>
      <c r="B3058" s="31" t="s">
        <v>4731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4733</v>
      </c>
      <c r="C3059" s="37"/>
      <c r="D3059" s="31" t="s">
        <v>149</v>
      </c>
      <c r="E3059" s="37"/>
      <c r="F3059" s="37"/>
    </row>
    <row r="3060" spans="1:7" x14ac:dyDescent="0.2">
      <c r="A3060" s="36" t="s">
        <v>4735</v>
      </c>
      <c r="B3060" s="31" t="s">
        <v>4734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4737</v>
      </c>
      <c r="B3061" s="31" t="s">
        <v>4736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4739</v>
      </c>
      <c r="B3062" s="31" t="s">
        <v>4738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4740</v>
      </c>
      <c r="C3063" s="37"/>
      <c r="D3063" s="31" t="s">
        <v>149</v>
      </c>
      <c r="E3063" s="37"/>
      <c r="F3063" s="37"/>
    </row>
    <row r="3064" spans="1:7" x14ac:dyDescent="0.2">
      <c r="A3064" s="36" t="s">
        <v>4742</v>
      </c>
      <c r="B3064" s="31" t="s">
        <v>4741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4744</v>
      </c>
      <c r="B3065" s="31" t="s">
        <v>4743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4746</v>
      </c>
      <c r="B3066" s="31" t="s">
        <v>4745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4748</v>
      </c>
      <c r="B3067" s="31" t="s">
        <v>4747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4750</v>
      </c>
      <c r="B3068" s="31" t="s">
        <v>4749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18" t="s">
        <v>5430</v>
      </c>
      <c r="C3069" s="39">
        <v>4</v>
      </c>
      <c r="D3069" s="31" t="s">
        <v>149</v>
      </c>
      <c r="E3069" s="39" t="s">
        <v>147</v>
      </c>
    </row>
    <row r="3070" spans="1:7" s="119" customFormat="1" ht="15" x14ac:dyDescent="0.25">
      <c r="A3070" s="121" t="s">
        <v>5441</v>
      </c>
      <c r="C3070" s="39">
        <v>4</v>
      </c>
      <c r="D3070" s="119" t="s">
        <v>149</v>
      </c>
      <c r="E3070" s="39" t="s">
        <v>147</v>
      </c>
    </row>
    <row r="3071" spans="1:7" s="119" customFormat="1" ht="15" x14ac:dyDescent="0.25">
      <c r="A3071" s="121" t="s">
        <v>5442</v>
      </c>
      <c r="C3071" s="39">
        <v>7</v>
      </c>
      <c r="D3071" s="119" t="s">
        <v>149</v>
      </c>
      <c r="E3071" s="39" t="s">
        <v>147</v>
      </c>
    </row>
    <row r="3072" spans="1:7" x14ac:dyDescent="0.2">
      <c r="A3072" s="36" t="s">
        <v>4752</v>
      </c>
      <c r="B3072" s="31" t="s">
        <v>4751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4753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4755</v>
      </c>
      <c r="B3074" s="31" t="s">
        <v>4754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4757</v>
      </c>
      <c r="B3075" s="31" t="s">
        <v>4756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5347</v>
      </c>
    </row>
    <row r="3077" spans="1:7" x14ac:dyDescent="0.2">
      <c r="A3077" s="36" t="s">
        <v>4759</v>
      </c>
      <c r="B3077" s="31" t="s">
        <v>4758</v>
      </c>
      <c r="C3077" s="37"/>
      <c r="D3077" s="31" t="s">
        <v>189</v>
      </c>
      <c r="E3077" s="37"/>
      <c r="F3077" s="37"/>
    </row>
    <row r="3078" spans="1:7" x14ac:dyDescent="0.2">
      <c r="A3078" s="36" t="s">
        <v>4761</v>
      </c>
      <c r="B3078" s="31" t="s">
        <v>4760</v>
      </c>
      <c r="C3078" s="37">
        <v>3</v>
      </c>
      <c r="D3078" s="31" t="s">
        <v>189</v>
      </c>
      <c r="E3078" s="37" t="s">
        <v>147</v>
      </c>
      <c r="F3078" s="37" t="s">
        <v>3997</v>
      </c>
    </row>
    <row r="3079" spans="1:7" x14ac:dyDescent="0.2">
      <c r="A3079" s="36" t="s">
        <v>4763</v>
      </c>
      <c r="B3079" s="31" t="s">
        <v>4762</v>
      </c>
      <c r="D3079" s="31" t="s">
        <v>189</v>
      </c>
    </row>
    <row r="3080" spans="1:7" ht="15" x14ac:dyDescent="0.25">
      <c r="A3080" s="60" t="s">
        <v>5348</v>
      </c>
    </row>
    <row r="3081" spans="1:7" x14ac:dyDescent="0.2">
      <c r="A3081" s="36" t="s">
        <v>4764</v>
      </c>
      <c r="C3081" s="37"/>
      <c r="D3081" s="31" t="s">
        <v>149</v>
      </c>
      <c r="E3081" s="37"/>
      <c r="F3081" s="37"/>
    </row>
    <row r="3082" spans="1:7" x14ac:dyDescent="0.2">
      <c r="A3082" s="36" t="s">
        <v>4766</v>
      </c>
      <c r="B3082" s="31" t="s">
        <v>4765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5349</v>
      </c>
    </row>
    <row r="3084" spans="1:7" x14ac:dyDescent="0.2">
      <c r="A3084" s="36" t="s">
        <v>4768</v>
      </c>
      <c r="B3084" s="31" t="s">
        <v>4767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4770</v>
      </c>
      <c r="B3085" s="31" t="s">
        <v>4769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5350</v>
      </c>
    </row>
    <row r="3087" spans="1:7" x14ac:dyDescent="0.2">
      <c r="A3087" s="36" t="s">
        <v>4772</v>
      </c>
      <c r="B3087" s="31" t="s">
        <v>4771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4774</v>
      </c>
      <c r="B3088" s="31" t="s">
        <v>4773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4776</v>
      </c>
      <c r="B3089" s="31" t="s">
        <v>4775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4777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4779</v>
      </c>
      <c r="B3091" s="31" t="s">
        <v>4778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4780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4782</v>
      </c>
      <c r="B3093" s="31" t="s">
        <v>4781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4783</v>
      </c>
      <c r="C3094" s="37"/>
      <c r="D3094" s="40" t="s">
        <v>149</v>
      </c>
      <c r="E3094" s="37"/>
      <c r="F3094" s="37"/>
    </row>
    <row r="3095" spans="1:7" x14ac:dyDescent="0.2">
      <c r="A3095" s="36" t="s">
        <v>4785</v>
      </c>
      <c r="B3095" s="31" t="s">
        <v>4784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5351</v>
      </c>
    </row>
    <row r="3097" spans="1:7" x14ac:dyDescent="0.2">
      <c r="A3097" s="36" t="s">
        <v>4787</v>
      </c>
      <c r="B3097" s="31" t="s">
        <v>4786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4789</v>
      </c>
      <c r="B3098" s="31" t="s">
        <v>4788</v>
      </c>
      <c r="C3098" s="37"/>
      <c r="D3098" s="31" t="s">
        <v>149</v>
      </c>
      <c r="E3098" s="37"/>
      <c r="F3098" s="37"/>
    </row>
    <row r="3099" spans="1:7" x14ac:dyDescent="0.2">
      <c r="A3099" s="36" t="s">
        <v>4791</v>
      </c>
      <c r="B3099" s="31" t="s">
        <v>4790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4793</v>
      </c>
      <c r="B3100" s="31" t="s">
        <v>4792</v>
      </c>
      <c r="C3100" s="37"/>
      <c r="D3100" s="31" t="s">
        <v>189</v>
      </c>
      <c r="E3100" s="37"/>
      <c r="F3100" s="37"/>
    </row>
    <row r="3101" spans="1:7" x14ac:dyDescent="0.2">
      <c r="A3101" s="36" t="s">
        <v>4794</v>
      </c>
      <c r="C3101" s="37"/>
      <c r="D3101" s="40" t="s">
        <v>149</v>
      </c>
      <c r="E3101" s="37"/>
      <c r="F3101" s="37"/>
    </row>
    <row r="3102" spans="1:7" x14ac:dyDescent="0.2">
      <c r="A3102" s="36" t="s">
        <v>4796</v>
      </c>
      <c r="B3102" s="31" t="s">
        <v>4795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5352</v>
      </c>
    </row>
    <row r="3104" spans="1:7" ht="15" x14ac:dyDescent="0.25">
      <c r="A3104" s="60" t="s">
        <v>5353</v>
      </c>
    </row>
    <row r="3105" spans="1:7" x14ac:dyDescent="0.2">
      <c r="A3105" s="36" t="s">
        <v>4798</v>
      </c>
      <c r="B3105" s="31" t="s">
        <v>4797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4800</v>
      </c>
      <c r="B3106" s="31" t="s">
        <v>4799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5354</v>
      </c>
    </row>
    <row r="3108" spans="1:7" x14ac:dyDescent="0.2">
      <c r="A3108" s="36" t="s">
        <v>4802</v>
      </c>
      <c r="B3108" s="31" t="s">
        <v>4801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4804</v>
      </c>
      <c r="B3109" s="31" t="s">
        <v>4803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5355</v>
      </c>
    </row>
    <row r="3111" spans="1:7" x14ac:dyDescent="0.2">
      <c r="A3111" s="36" t="s">
        <v>4806</v>
      </c>
      <c r="B3111" s="31" t="s">
        <v>4805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5356</v>
      </c>
    </row>
    <row r="3113" spans="1:7" x14ac:dyDescent="0.2">
      <c r="A3113" s="36" t="s">
        <v>4808</v>
      </c>
      <c r="B3113" s="31" t="s">
        <v>4807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5357</v>
      </c>
    </row>
    <row r="3115" spans="1:7" x14ac:dyDescent="0.2">
      <c r="A3115" s="36" t="s">
        <v>4809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4811</v>
      </c>
      <c r="B3116" s="31" t="s">
        <v>4810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4812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4814</v>
      </c>
      <c r="B3118" s="31" t="s">
        <v>4813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4815</v>
      </c>
      <c r="B3119" s="31" t="s">
        <v>4813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5358</v>
      </c>
    </row>
    <row r="3121" spans="1:6" x14ac:dyDescent="0.2">
      <c r="A3121" s="36" t="s">
        <v>4817</v>
      </c>
      <c r="B3121" s="31" t="s">
        <v>4816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4819</v>
      </c>
      <c r="B3122" s="31" t="s">
        <v>4818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60" t="s">
        <v>5359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80" zoomScaleNormal="80" workbookViewId="0">
      <selection activeCell="H27" sqref="H27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103" t="s">
        <v>5527</v>
      </c>
      <c r="C2" s="46" t="str">
        <f>CONCATENATE(B2,2024)</f>
        <v>LBRP R2024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5407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>
        <v>44071</v>
      </c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5410</v>
      </c>
      <c r="D9" s="49" t="s">
        <v>5401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5410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23"/>
      <c r="B10" s="44"/>
      <c r="C10" s="44"/>
      <c r="D10" s="98"/>
      <c r="E10" s="44"/>
      <c r="F10" s="44"/>
      <c r="G10" s="44"/>
      <c r="H10" s="44"/>
      <c r="J10" s="125"/>
      <c r="K10" s="47"/>
      <c r="L10" s="47"/>
      <c r="M10" s="99"/>
      <c r="N10" s="105"/>
      <c r="O10" s="105"/>
    </row>
    <row r="11" spans="1:15" x14ac:dyDescent="0.2">
      <c r="A11" s="123"/>
      <c r="B11" s="44"/>
      <c r="C11" s="44"/>
      <c r="D11" s="98"/>
      <c r="E11" s="44"/>
      <c r="F11" s="44"/>
      <c r="G11" s="44"/>
      <c r="H11" s="44"/>
      <c r="J11" s="125"/>
      <c r="K11" s="47"/>
      <c r="L11" s="47"/>
      <c r="M11" s="99"/>
      <c r="N11" s="105"/>
      <c r="O11" s="105"/>
    </row>
    <row r="12" spans="1:15" x14ac:dyDescent="0.2">
      <c r="A12" s="123" t="s">
        <v>3648</v>
      </c>
      <c r="B12" s="44" t="str">
        <f>IF(LEN(VLOOKUP(A12,'Species List'!$A:$G,2,FALSE))=0,"",VLOOKUP(A12,'Species List'!$A:$G,2,FALSE))</f>
        <v>black cherry</v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25" t="s">
        <v>5394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ref="N12:N75" si="0">L12/$L$151</f>
        <v>1.4705882352941176E-2</v>
      </c>
      <c r="O12" s="85">
        <f>D12*N12</f>
        <v>5.8823529411764705E-2</v>
      </c>
    </row>
    <row r="13" spans="1:15" x14ac:dyDescent="0.2">
      <c r="A13" s="123" t="s">
        <v>5426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98">
        <f t="shared" ref="D13:D76" si="1">VALUE(C13)</f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5" t="s">
        <v>5394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2">VALUE(L13)</f>
        <v>3</v>
      </c>
      <c r="N13" s="85">
        <f t="shared" si="0"/>
        <v>1.4705882352941176E-2</v>
      </c>
      <c r="O13" s="97">
        <f t="shared" ref="O13:O76" si="3">D13*N13</f>
        <v>4.4117647058823525E-2</v>
      </c>
    </row>
    <row r="14" spans="1:15" x14ac:dyDescent="0.2">
      <c r="A14" s="123" t="s">
        <v>4806</v>
      </c>
      <c r="B14" s="44" t="str">
        <f>IF(LEN(VLOOKUP(A14,'Species List'!$A:$G,2,FALSE))=0,"",VLOOKUP(A14,'Species List'!$A:$G,2,FALSE))</f>
        <v>prickly ash</v>
      </c>
      <c r="C14" s="44">
        <f>IF(LEN(VLOOKUP(A14,'Species List'!$A:$G,3,FALSE))=0,"",VLOOKUP(A14,'Species List'!$A:$G,3,FALSE))</f>
        <v>3</v>
      </c>
      <c r="D14" s="98">
        <f t="shared" si="1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5" t="s">
        <v>5394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2"/>
        <v>3</v>
      </c>
      <c r="N14" s="85">
        <f t="shared" si="0"/>
        <v>1.4705882352941176E-2</v>
      </c>
      <c r="O14" s="97">
        <f t="shared" si="3"/>
        <v>4.4117647058823525E-2</v>
      </c>
    </row>
    <row r="15" spans="1:15" x14ac:dyDescent="0.2">
      <c r="A15" s="123" t="s">
        <v>4587</v>
      </c>
      <c r="B15" s="44" t="str">
        <f>IF(LEN(VLOOKUP(A15,'Species List'!$A:$G,2,FALSE))=0,"",VLOOKUP(A15,'Species List'!$A:$G,2,FALSE))</f>
        <v>American elm</v>
      </c>
      <c r="C15" s="44">
        <f>IF(LEN(VLOOKUP(A15,'Species List'!$A:$G,3,FALSE))=0,"",VLOOKUP(A15,'Species List'!$A:$G,3,FALSE))</f>
        <v>3</v>
      </c>
      <c r="D15" s="98">
        <f t="shared" si="1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125" t="s">
        <v>5394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2"/>
        <v>3</v>
      </c>
      <c r="N15" s="85">
        <f t="shared" si="0"/>
        <v>1.4705882352941176E-2</v>
      </c>
      <c r="O15" s="97">
        <f t="shared" si="3"/>
        <v>4.4117647058823525E-2</v>
      </c>
    </row>
    <row r="16" spans="1:15" x14ac:dyDescent="0.2">
      <c r="A16" s="123" t="s">
        <v>162</v>
      </c>
      <c r="B16" s="44" t="str">
        <f>IF(LEN(VLOOKUP(A16,'Species List'!$A:$G,2,FALSE))=0,"",VLOOKUP(A16,'Species List'!$A:$G,2,FALSE))</f>
        <v>box elder</v>
      </c>
      <c r="C16" s="44">
        <f>IF(LEN(VLOOKUP(A16,'Species List'!$A:$G,3,FALSE))=0,"",VLOOKUP(A16,'Species List'!$A:$G,3,FALSE))</f>
        <v>1</v>
      </c>
      <c r="D16" s="98">
        <f t="shared" si="1"/>
        <v>1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FACW-</v>
      </c>
      <c r="H16" s="44">
        <f>VLOOKUP(A16,'Species List'!$A:$G,7,FALSE)</f>
        <v>0</v>
      </c>
      <c r="J16" s="125" t="s">
        <v>5394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2"/>
        <v>3</v>
      </c>
      <c r="N16" s="85">
        <f t="shared" si="0"/>
        <v>1.4705882352941176E-2</v>
      </c>
      <c r="O16" s="97">
        <f t="shared" si="3"/>
        <v>1.4705882352941176E-2</v>
      </c>
    </row>
    <row r="17" spans="1:15" x14ac:dyDescent="0.2">
      <c r="A17" s="123" t="s">
        <v>5456</v>
      </c>
      <c r="B17" s="44" t="e">
        <f>IF(LEN(VLOOKUP(A17,'Species List'!$A:$G,2,FALSE))=0,"",VLOOKUP(A17,'Species List'!$A:$G,2,FALSE))</f>
        <v>#N/A</v>
      </c>
      <c r="C17" s="44">
        <v>6</v>
      </c>
      <c r="D17" s="98">
        <f t="shared" si="1"/>
        <v>6</v>
      </c>
      <c r="E17" s="44" t="s">
        <v>1243</v>
      </c>
      <c r="F17" s="44" t="s">
        <v>147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5" t="s">
        <v>5394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2"/>
        <v>3</v>
      </c>
      <c r="N17" s="85">
        <f t="shared" si="0"/>
        <v>1.4705882352941176E-2</v>
      </c>
      <c r="O17" s="97">
        <f t="shared" si="3"/>
        <v>8.8235294117647051E-2</v>
      </c>
    </row>
    <row r="18" spans="1:15" x14ac:dyDescent="0.2">
      <c r="A18" s="123" t="s">
        <v>5427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3</v>
      </c>
      <c r="D18" s="98">
        <f t="shared" si="1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5" t="s">
        <v>5396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99">
        <f t="shared" si="2"/>
        <v>0.5</v>
      </c>
      <c r="N18" s="85">
        <f t="shared" si="0"/>
        <v>2.4509803921568627E-3</v>
      </c>
      <c r="O18" s="97">
        <f t="shared" si="3"/>
        <v>7.3529411764705881E-3</v>
      </c>
    </row>
    <row r="19" spans="1:15" x14ac:dyDescent="0.2">
      <c r="A19" s="123"/>
      <c r="B19" s="44"/>
      <c r="C19" s="44"/>
      <c r="D19" s="98"/>
      <c r="E19" s="44"/>
      <c r="F19" s="44"/>
      <c r="G19" s="44"/>
      <c r="H19" s="44"/>
      <c r="J19" s="125"/>
      <c r="K19" s="47"/>
      <c r="L19" s="47"/>
      <c r="M19" s="99"/>
      <c r="O19" s="97"/>
    </row>
    <row r="20" spans="1:15" x14ac:dyDescent="0.2">
      <c r="A20" s="123" t="s">
        <v>2958</v>
      </c>
      <c r="B20" s="44" t="str">
        <f>IF(LEN(VLOOKUP(A20,'Species List'!$A:$G,2,FALSE))=0,"",VLOOKUP(A20,'Species List'!$A:$G,2,FALSE))</f>
        <v>white mulberry</v>
      </c>
      <c r="C20" s="44">
        <f>IF(LEN(VLOOKUP(A20,'Species List'!$A:$G,3,FALSE))=0,"",VLOOKUP(A20,'Species List'!$A:$G,3,FALSE))</f>
        <v>0</v>
      </c>
      <c r="D20" s="98">
        <f t="shared" si="1"/>
        <v>0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25" t="s">
        <v>5396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2"/>
        <v>0.5</v>
      </c>
      <c r="N20" s="85">
        <f t="shared" si="0"/>
        <v>2.4509803921568627E-3</v>
      </c>
      <c r="O20" s="97">
        <f t="shared" si="3"/>
        <v>0</v>
      </c>
    </row>
    <row r="21" spans="1:15" x14ac:dyDescent="0.2">
      <c r="A21" s="123" t="s">
        <v>4690</v>
      </c>
      <c r="B21" s="44" t="str">
        <f>IF(LEN(VLOOKUP(A21,'Species List'!$A:$G,2,FALSE))=0,"",VLOOKUP(A21,'Species List'!$A:$G,2,FALSE))</f>
        <v>nannyberry</v>
      </c>
      <c r="C21" s="44">
        <f>IF(LEN(VLOOKUP(A21,'Species List'!$A:$G,3,FALSE))=0,"",VLOOKUP(A21,'Species List'!$A:$G,3,FALSE))</f>
        <v>4</v>
      </c>
      <c r="D21" s="98">
        <f t="shared" si="1"/>
        <v>4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FAC+</v>
      </c>
      <c r="H21" s="44">
        <f>VLOOKUP(A21,'Species List'!$A:$G,7,FALSE)</f>
        <v>0</v>
      </c>
      <c r="J21" s="125" t="s">
        <v>5396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2"/>
        <v>0.5</v>
      </c>
      <c r="N21" s="85">
        <f t="shared" si="0"/>
        <v>2.4509803921568627E-3</v>
      </c>
      <c r="O21" s="97">
        <f t="shared" si="3"/>
        <v>9.8039215686274508E-3</v>
      </c>
    </row>
    <row r="22" spans="1:15" x14ac:dyDescent="0.2">
      <c r="A22" s="123" t="s">
        <v>3749</v>
      </c>
      <c r="B22" s="44" t="str">
        <f>IF(LEN(VLOOKUP(A22,'Species List'!$A:$G,2,FALSE))=0,"",VLOOKUP(A22,'Species List'!$A:$G,2,FALSE))</f>
        <v>common buckthorn</v>
      </c>
      <c r="C22" s="44">
        <f>IF(LEN(VLOOKUP(A22,'Species List'!$A:$G,3,FALSE))=0,"",VLOOKUP(A22,'Species List'!$A:$G,3,FALSE))</f>
        <v>0</v>
      </c>
      <c r="D22" s="98">
        <f t="shared" si="1"/>
        <v>0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5">
        <v>2</v>
      </c>
      <c r="K22" s="47" t="str">
        <f>VLOOKUP(J22,'Species List'!$H$1:$J$9,2,FALSE)</f>
        <v>&gt;5-25%</v>
      </c>
      <c r="L22" s="47">
        <f>VLOOKUP(K22,'Species List'!$I$1:$N$8,2,FALSE)</f>
        <v>15</v>
      </c>
      <c r="M22" s="99">
        <f t="shared" si="2"/>
        <v>15</v>
      </c>
      <c r="N22" s="85">
        <f t="shared" si="0"/>
        <v>7.3529411764705885E-2</v>
      </c>
      <c r="O22" s="97">
        <f t="shared" si="3"/>
        <v>0</v>
      </c>
    </row>
    <row r="23" spans="1:15" x14ac:dyDescent="0.2">
      <c r="A23" s="123" t="s">
        <v>5457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0</v>
      </c>
      <c r="D23" s="98">
        <f t="shared" si="1"/>
        <v>0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25">
        <v>2</v>
      </c>
      <c r="K23" s="47" t="str">
        <f>VLOOKUP(J23,'Species List'!$H$1:$J$9,2,FALSE)</f>
        <v>&gt;5-25%</v>
      </c>
      <c r="L23" s="47">
        <f>VLOOKUP(K23,'Species List'!$I$1:$N$8,2,FALSE)</f>
        <v>15</v>
      </c>
      <c r="M23" s="99">
        <f t="shared" si="2"/>
        <v>15</v>
      </c>
      <c r="N23" s="85">
        <f t="shared" si="0"/>
        <v>7.3529411764705885E-2</v>
      </c>
      <c r="O23" s="97">
        <f t="shared" si="3"/>
        <v>0</v>
      </c>
    </row>
    <row r="24" spans="1:15" x14ac:dyDescent="0.2">
      <c r="A24" s="123" t="s">
        <v>3650</v>
      </c>
      <c r="B24" s="44" t="str">
        <f>IF(LEN(VLOOKUP(A24,'Species List'!$A:$G,2,FALSE))=0,"",VLOOKUP(A24,'Species List'!$A:$G,2,FALSE))</f>
        <v>chokecherry</v>
      </c>
      <c r="C24" s="44">
        <f>IF(LEN(VLOOKUP(A24,'Species List'!$A:$G,3,FALSE))=0,"",VLOOKUP(A24,'Species List'!$A:$G,3,FALSE))</f>
        <v>3</v>
      </c>
      <c r="D24" s="98">
        <f t="shared" si="1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[FAC-]</v>
      </c>
      <c r="H24" s="44">
        <f>VLOOKUP(A24,'Species List'!$A:$G,7,FALSE)</f>
        <v>0</v>
      </c>
      <c r="J24" s="125" t="s">
        <v>5394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2"/>
        <v>3</v>
      </c>
      <c r="N24" s="85">
        <f t="shared" si="0"/>
        <v>1.4705882352941176E-2</v>
      </c>
      <c r="O24" s="97">
        <f t="shared" si="3"/>
        <v>4.4117647058823525E-2</v>
      </c>
    </row>
    <row r="25" spans="1:15" x14ac:dyDescent="0.2">
      <c r="A25" s="123"/>
      <c r="B25" s="44"/>
      <c r="C25" s="44"/>
      <c r="D25" s="98"/>
      <c r="E25" s="44"/>
      <c r="F25" s="44"/>
      <c r="G25" s="44"/>
      <c r="H25" s="44"/>
      <c r="J25" s="125"/>
      <c r="K25" s="47"/>
      <c r="L25" s="47"/>
      <c r="M25" s="99"/>
      <c r="O25" s="97"/>
    </row>
    <row r="26" spans="1:15" x14ac:dyDescent="0.2">
      <c r="A26" s="123"/>
      <c r="B26" s="44"/>
      <c r="C26" s="44"/>
      <c r="D26" s="98"/>
      <c r="E26" s="44"/>
      <c r="F26" s="44"/>
      <c r="G26" s="44"/>
      <c r="H26" s="44"/>
      <c r="J26" s="125"/>
      <c r="K26" s="47"/>
      <c r="L26" s="47"/>
      <c r="M26" s="99"/>
      <c r="O26" s="97"/>
    </row>
    <row r="27" spans="1:15" x14ac:dyDescent="0.2">
      <c r="A27" s="123"/>
      <c r="B27" s="44"/>
      <c r="C27" s="44"/>
      <c r="D27" s="98"/>
      <c r="E27" s="44"/>
      <c r="F27" s="44"/>
      <c r="G27" s="44"/>
      <c r="H27" s="44"/>
      <c r="J27" s="125"/>
      <c r="K27" s="47"/>
      <c r="L27" s="47"/>
      <c r="M27" s="99"/>
      <c r="O27" s="97"/>
    </row>
    <row r="28" spans="1:15" x14ac:dyDescent="0.2">
      <c r="A28" s="123" t="s">
        <v>3637</v>
      </c>
      <c r="B28" s="44" t="str">
        <f>IF(LEN(VLOOKUP(A28,'Species List'!$A:$G,2,FALSE))=0,"",VLOOKUP(A28,'Species List'!$A:$G,2,FALSE))</f>
        <v>wild plum</v>
      </c>
      <c r="C28" s="44">
        <f>IF(LEN(VLOOKUP(A28,'Species List'!$A:$G,3,FALSE))=0,"",VLOOKUP(A28,'Species List'!$A:$G,3,FALSE))</f>
        <v>3</v>
      </c>
      <c r="D28" s="98">
        <f t="shared" si="1"/>
        <v>3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UPL</v>
      </c>
      <c r="H28" s="44">
        <f>VLOOKUP(A28,'Species List'!$A:$G,7,FALSE)</f>
        <v>0</v>
      </c>
      <c r="J28" s="125" t="s">
        <v>5394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2"/>
        <v>3</v>
      </c>
      <c r="N28" s="85">
        <f t="shared" si="0"/>
        <v>1.4705882352941176E-2</v>
      </c>
      <c r="O28" s="97">
        <f t="shared" si="3"/>
        <v>4.4117647058823525E-2</v>
      </c>
    </row>
    <row r="29" spans="1:15" x14ac:dyDescent="0.2">
      <c r="A29" s="123"/>
      <c r="B29" s="44"/>
      <c r="C29" s="44"/>
      <c r="D29" s="98"/>
      <c r="E29" s="44"/>
      <c r="F29" s="44"/>
      <c r="G29" s="44"/>
      <c r="H29" s="44"/>
      <c r="J29" s="125"/>
      <c r="K29" s="47"/>
      <c r="L29" s="47"/>
      <c r="M29" s="99"/>
      <c r="O29" s="97"/>
    </row>
    <row r="30" spans="1:15" x14ac:dyDescent="0.2">
      <c r="A30" s="123" t="s">
        <v>3849</v>
      </c>
      <c r="B30" s="44" t="str">
        <f>IF(LEN(VLOOKUP(A30,'Species List'!$A:$G,2,FALSE))=0,"",VLOOKUP(A30,'Species List'!$A:$G,2,FALSE))</f>
        <v>black raspberry</v>
      </c>
      <c r="C30" s="44">
        <f>IF(LEN(VLOOKUP(A30,'Species List'!$A:$G,3,FALSE))=0,"",VLOOKUP(A30,'Species List'!$A:$G,3,FALSE))</f>
        <v>2</v>
      </c>
      <c r="D30" s="98">
        <f t="shared" si="1"/>
        <v>2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5" t="s">
        <v>5394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2"/>
        <v>3</v>
      </c>
      <c r="N30" s="85">
        <f t="shared" si="0"/>
        <v>1.4705882352941176E-2</v>
      </c>
      <c r="O30" s="97">
        <f t="shared" si="3"/>
        <v>2.9411764705882353E-2</v>
      </c>
    </row>
    <row r="31" spans="1:15" x14ac:dyDescent="0.2">
      <c r="A31" s="123" t="s">
        <v>2141</v>
      </c>
      <c r="B31" s="44" t="str">
        <f>IF(LEN(VLOOKUP(A31,'Species List'!$A:$G,2,FALSE))=0,"",VLOOKUP(A31,'Species List'!$A:$G,2,FALSE))</f>
        <v>green ash</v>
      </c>
      <c r="C31" s="44">
        <f>IF(LEN(VLOOKUP(A31,'Species List'!$A:$G,3,FALSE))=0,"",VLOOKUP(A31,'Species List'!$A:$G,3,FALSE))</f>
        <v>2</v>
      </c>
      <c r="D31" s="98">
        <f t="shared" si="1"/>
        <v>2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</v>
      </c>
      <c r="H31" s="44">
        <f>VLOOKUP(A31,'Species List'!$A:$G,7,FALSE)</f>
        <v>0</v>
      </c>
      <c r="J31" s="125">
        <v>3</v>
      </c>
      <c r="K31" s="47" t="str">
        <f>VLOOKUP(J31,'Species List'!$H$1:$J$9,2,FALSE)</f>
        <v>&gt;25-50%</v>
      </c>
      <c r="L31" s="47">
        <f>VLOOKUP(K31,'Species List'!$I$1:$N$8,2,FALSE)</f>
        <v>37.5</v>
      </c>
      <c r="M31" s="99">
        <f t="shared" si="2"/>
        <v>37.5</v>
      </c>
      <c r="N31" s="85">
        <f t="shared" si="0"/>
        <v>0.18382352941176472</v>
      </c>
      <c r="O31" s="97">
        <f t="shared" si="3"/>
        <v>0.36764705882352944</v>
      </c>
    </row>
    <row r="32" spans="1:15" x14ac:dyDescent="0.2">
      <c r="A32" s="123" t="s">
        <v>1249</v>
      </c>
      <c r="B32" s="44" t="str">
        <f>IF(LEN(VLOOKUP(A32,'Species List'!$A:$G,2,FALSE))=0,"",VLOOKUP(A32,'Species List'!$A:$G,2,FALSE))</f>
        <v>hackberry</v>
      </c>
      <c r="C32" s="44">
        <f>IF(LEN(VLOOKUP(A32,'Species List'!$A:$G,3,FALSE))=0,"",VLOOKUP(A32,'Species List'!$A:$G,3,FALSE))</f>
        <v>3</v>
      </c>
      <c r="D32" s="98">
        <f t="shared" si="1"/>
        <v>3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[FAC-]</v>
      </c>
      <c r="H32" s="44">
        <f>VLOOKUP(A32,'Species List'!$A:$G,7,FALSE)</f>
        <v>0</v>
      </c>
      <c r="J32" s="125">
        <v>3</v>
      </c>
      <c r="K32" s="47" t="str">
        <f>VLOOKUP(J32,'Species List'!$H$1:$J$9,2,FALSE)</f>
        <v>&gt;25-50%</v>
      </c>
      <c r="L32" s="47">
        <f>VLOOKUP(K32,'Species List'!$I$1:$N$8,2,FALSE)</f>
        <v>37.5</v>
      </c>
      <c r="M32" s="99">
        <f t="shared" si="2"/>
        <v>37.5</v>
      </c>
      <c r="N32" s="85">
        <f t="shared" si="0"/>
        <v>0.18382352941176472</v>
      </c>
      <c r="O32" s="97">
        <f t="shared" si="3"/>
        <v>0.55147058823529416</v>
      </c>
    </row>
    <row r="33" spans="1:15" x14ac:dyDescent="0.2">
      <c r="A33" s="123" t="s">
        <v>2554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3</v>
      </c>
      <c r="D33" s="98">
        <f t="shared" si="1"/>
        <v>3</v>
      </c>
      <c r="E33" s="44" t="str">
        <f>IF(LEN(VLOOKUP(A33,'Species List'!$A:$G,4,FALSE))=0,"",VLOOKUP(A33,'Species List'!$A:$G,4,FALSE))</f>
        <v>E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25">
        <v>2</v>
      </c>
      <c r="K33" s="47" t="str">
        <f>VLOOKUP(J33,'Species List'!$H$1:$J$9,2,FALSE)</f>
        <v>&gt;5-25%</v>
      </c>
      <c r="L33" s="47">
        <f>VLOOKUP(K33,'Species List'!$I$1:$N$8,2,FALSE)</f>
        <v>15</v>
      </c>
      <c r="M33" s="99">
        <f t="shared" si="2"/>
        <v>15</v>
      </c>
      <c r="N33" s="85">
        <f t="shared" si="0"/>
        <v>7.3529411764705885E-2</v>
      </c>
      <c r="O33" s="97">
        <f t="shared" si="3"/>
        <v>0.22058823529411764</v>
      </c>
    </row>
    <row r="34" spans="1:15" x14ac:dyDescent="0.2">
      <c r="A34" s="123" t="s">
        <v>2139</v>
      </c>
      <c r="B34" s="44" t="str">
        <f>IF(LEN(VLOOKUP(A34,'Species List'!$A:$G,2,FALSE))=0,"",VLOOKUP(A34,'Species List'!$A:$G,2,FALSE))</f>
        <v>black ash</v>
      </c>
      <c r="C34" s="44">
        <f>IF(LEN(VLOOKUP(A34,'Species List'!$A:$G,3,FALSE))=0,"",VLOOKUP(A34,'Species List'!$A:$G,3,FALSE))</f>
        <v>6</v>
      </c>
      <c r="D34" s="98">
        <f t="shared" si="1"/>
        <v>6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FACW+</v>
      </c>
      <c r="H34" s="44">
        <f>VLOOKUP(A34,'Species List'!$A:$G,7,FALSE)</f>
        <v>0</v>
      </c>
      <c r="J34" s="125">
        <v>2</v>
      </c>
      <c r="K34" s="47" t="str">
        <f>VLOOKUP(J34,'Species List'!$H$1:$J$9,2,FALSE)</f>
        <v>&gt;5-25%</v>
      </c>
      <c r="L34" s="47">
        <f>VLOOKUP(K34,'Species List'!$I$1:$N$8,2,FALSE)</f>
        <v>15</v>
      </c>
      <c r="M34" s="99">
        <f t="shared" si="2"/>
        <v>15</v>
      </c>
      <c r="N34" s="85">
        <f t="shared" si="0"/>
        <v>7.3529411764705885E-2</v>
      </c>
      <c r="O34" s="97">
        <f t="shared" si="3"/>
        <v>0.44117647058823528</v>
      </c>
    </row>
    <row r="35" spans="1:15" x14ac:dyDescent="0.2">
      <c r="A35" s="123" t="s">
        <v>4757</v>
      </c>
      <c r="B35" s="44" t="str">
        <f>IF(LEN(VLOOKUP(A35,'Species List'!$A:$G,2,FALSE))=0,"",VLOOKUP(A35,'Species List'!$A:$G,2,FALSE))</f>
        <v>wild grape</v>
      </c>
      <c r="C35" s="44">
        <f>IF(LEN(VLOOKUP(A35,'Species List'!$A:$G,3,FALSE))=0,"",VLOOKUP(A35,'Species List'!$A:$G,3,FALSE))</f>
        <v>2</v>
      </c>
      <c r="D35" s="98">
        <f t="shared" si="1"/>
        <v>2</v>
      </c>
      <c r="E35" s="44" t="str">
        <f>IF(LEN(VLOOKUP(A35,'Species List'!$A:$G,4,FALSE))=0,"",VLOOKUP(A35,'Species List'!$A:$G,4,FALSE))</f>
        <v>C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FACW-</v>
      </c>
      <c r="H35" s="44">
        <f>VLOOKUP(A35,'Species List'!$A:$G,7,FALSE)</f>
        <v>0</v>
      </c>
      <c r="J35" s="125">
        <v>3</v>
      </c>
      <c r="K35" s="47" t="str">
        <f>VLOOKUP(J35,'Species List'!$H$1:$J$9,2,FALSE)</f>
        <v>&gt;25-50%</v>
      </c>
      <c r="L35" s="47">
        <f>VLOOKUP(K35,'Species List'!$I$1:$N$8,2,FALSE)</f>
        <v>37.5</v>
      </c>
      <c r="M35" s="99">
        <f t="shared" si="2"/>
        <v>37.5</v>
      </c>
      <c r="N35" s="85">
        <f t="shared" si="0"/>
        <v>0.18382352941176472</v>
      </c>
      <c r="O35" s="97">
        <f t="shared" si="3"/>
        <v>0.36764705882352944</v>
      </c>
    </row>
    <row r="36" spans="1:15" x14ac:dyDescent="0.2">
      <c r="A36" s="123" t="s">
        <v>5432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2</v>
      </c>
      <c r="D36" s="98">
        <f t="shared" si="1"/>
        <v>2</v>
      </c>
      <c r="E36" s="44" t="str">
        <f>IF(LEN(VLOOKUP(A36,'Species List'!$A:$G,4,FALSE))=0,"",VLOOKUP(A36,'Species List'!$A:$G,4,FALSE))</f>
        <v>C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/>
      </c>
      <c r="H36" s="44">
        <f>VLOOKUP(A36,'Species List'!$A:$G,7,FALSE)</f>
        <v>0</v>
      </c>
      <c r="J36" s="125" t="s">
        <v>5394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2"/>
        <v>3</v>
      </c>
      <c r="N36" s="85">
        <f t="shared" si="0"/>
        <v>1.4705882352941176E-2</v>
      </c>
      <c r="O36" s="97">
        <f t="shared" si="3"/>
        <v>2.9411764705882353E-2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1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2"/>
        <v>#N/A</v>
      </c>
      <c r="N37" s="85" t="e">
        <f t="shared" si="0"/>
        <v>#N/A</v>
      </c>
      <c r="O37" s="97" t="e">
        <f t="shared" si="3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1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2"/>
        <v>#N/A</v>
      </c>
      <c r="N38" s="85" t="e">
        <f t="shared" si="0"/>
        <v>#N/A</v>
      </c>
      <c r="O38" s="97" t="e">
        <f t="shared" si="3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1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2"/>
        <v>#N/A</v>
      </c>
      <c r="N39" s="85" t="e">
        <f t="shared" si="0"/>
        <v>#N/A</v>
      </c>
      <c r="O39" s="97" t="e">
        <f t="shared" si="3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1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2"/>
        <v>#N/A</v>
      </c>
      <c r="N40" s="85" t="e">
        <f t="shared" si="0"/>
        <v>#N/A</v>
      </c>
      <c r="O40" s="97" t="e">
        <f t="shared" si="3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1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2"/>
        <v>#N/A</v>
      </c>
      <c r="N41" s="85" t="e">
        <f t="shared" si="0"/>
        <v>#N/A</v>
      </c>
      <c r="O41" s="97" t="e">
        <f t="shared" si="3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1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2"/>
        <v>#N/A</v>
      </c>
      <c r="N42" s="85" t="e">
        <f t="shared" si="0"/>
        <v>#N/A</v>
      </c>
      <c r="O42" s="97" t="e">
        <f t="shared" si="3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1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2"/>
        <v>#N/A</v>
      </c>
      <c r="N43" s="85" t="e">
        <f t="shared" si="0"/>
        <v>#N/A</v>
      </c>
      <c r="O43" s="97" t="e">
        <f t="shared" si="3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1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2"/>
        <v>#N/A</v>
      </c>
      <c r="N44" s="85" t="e">
        <f t="shared" si="0"/>
        <v>#N/A</v>
      </c>
      <c r="O44" s="97" t="e">
        <f t="shared" si="3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1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2"/>
        <v>#N/A</v>
      </c>
      <c r="N45" s="85" t="e">
        <f t="shared" si="0"/>
        <v>#N/A</v>
      </c>
      <c r="O45" s="97" t="e">
        <f t="shared" si="3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1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2"/>
        <v>#N/A</v>
      </c>
      <c r="N46" s="85" t="e">
        <f t="shared" si="0"/>
        <v>#N/A</v>
      </c>
      <c r="O46" s="97" t="e">
        <f t="shared" si="3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1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2"/>
        <v>#N/A</v>
      </c>
      <c r="N47" s="85" t="e">
        <f t="shared" si="0"/>
        <v>#N/A</v>
      </c>
      <c r="O47" s="97" t="e">
        <f t="shared" si="3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1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2"/>
        <v>#N/A</v>
      </c>
      <c r="N48" s="85" t="e">
        <f t="shared" si="0"/>
        <v>#N/A</v>
      </c>
      <c r="O48" s="97" t="e">
        <f t="shared" si="3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1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2"/>
        <v>#N/A</v>
      </c>
      <c r="N49" s="85" t="e">
        <f t="shared" si="0"/>
        <v>#N/A</v>
      </c>
      <c r="O49" s="97" t="e">
        <f t="shared" si="3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1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2"/>
        <v>#N/A</v>
      </c>
      <c r="N50" s="85" t="e">
        <f t="shared" si="0"/>
        <v>#N/A</v>
      </c>
      <c r="O50" s="97" t="e">
        <f t="shared" si="3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1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2"/>
        <v>#N/A</v>
      </c>
      <c r="N51" s="85" t="e">
        <f t="shared" si="0"/>
        <v>#N/A</v>
      </c>
      <c r="O51" s="97" t="e">
        <f t="shared" si="3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1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2"/>
        <v>#N/A</v>
      </c>
      <c r="N52" s="85" t="e">
        <f t="shared" si="0"/>
        <v>#N/A</v>
      </c>
      <c r="O52" s="97" t="e">
        <f t="shared" si="3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1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2"/>
        <v>#N/A</v>
      </c>
      <c r="N53" s="85" t="e">
        <f t="shared" si="0"/>
        <v>#N/A</v>
      </c>
      <c r="O53" s="97" t="e">
        <f t="shared" si="3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1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2"/>
        <v>#N/A</v>
      </c>
      <c r="N54" s="85" t="e">
        <f t="shared" si="0"/>
        <v>#N/A</v>
      </c>
      <c r="O54" s="97" t="e">
        <f t="shared" si="3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1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2"/>
        <v>#N/A</v>
      </c>
      <c r="N55" s="85" t="e">
        <f t="shared" si="0"/>
        <v>#N/A</v>
      </c>
      <c r="O55" s="97" t="e">
        <f t="shared" si="3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1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2"/>
        <v>#N/A</v>
      </c>
      <c r="N56" s="85" t="e">
        <f t="shared" si="0"/>
        <v>#N/A</v>
      </c>
      <c r="O56" s="97" t="e">
        <f t="shared" si="3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1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2"/>
        <v>#N/A</v>
      </c>
      <c r="N57" s="85" t="e">
        <f t="shared" si="0"/>
        <v>#N/A</v>
      </c>
      <c r="O57" s="97" t="e">
        <f t="shared" si="3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1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2"/>
        <v>#N/A</v>
      </c>
      <c r="N58" s="85" t="e">
        <f t="shared" si="0"/>
        <v>#N/A</v>
      </c>
      <c r="O58" s="97" t="e">
        <f t="shared" si="3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1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2"/>
        <v>#N/A</v>
      </c>
      <c r="N59" s="85" t="e">
        <f t="shared" si="0"/>
        <v>#N/A</v>
      </c>
      <c r="O59" s="97" t="e">
        <f t="shared" si="3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1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2"/>
        <v>#N/A</v>
      </c>
      <c r="N60" s="85" t="e">
        <f t="shared" si="0"/>
        <v>#N/A</v>
      </c>
      <c r="O60" s="97" t="e">
        <f t="shared" si="3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1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2"/>
        <v>#N/A</v>
      </c>
      <c r="N61" s="85" t="e">
        <f t="shared" si="0"/>
        <v>#N/A</v>
      </c>
      <c r="O61" s="97" t="e">
        <f t="shared" si="3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1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2"/>
        <v>#N/A</v>
      </c>
      <c r="N62" s="85" t="e">
        <f t="shared" si="0"/>
        <v>#N/A</v>
      </c>
      <c r="O62" s="97" t="e">
        <f t="shared" si="3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1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2"/>
        <v>#N/A</v>
      </c>
      <c r="N63" s="85" t="e">
        <f t="shared" si="0"/>
        <v>#N/A</v>
      </c>
      <c r="O63" s="97" t="e">
        <f t="shared" si="3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1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2"/>
        <v>#N/A</v>
      </c>
      <c r="N64" s="85" t="e">
        <f t="shared" si="0"/>
        <v>#N/A</v>
      </c>
      <c r="O64" s="97" t="e">
        <f t="shared" si="3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1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2"/>
        <v>#N/A</v>
      </c>
      <c r="N65" s="85" t="e">
        <f t="shared" si="0"/>
        <v>#N/A</v>
      </c>
      <c r="O65" s="97" t="e">
        <f t="shared" si="3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1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2"/>
        <v>#N/A</v>
      </c>
      <c r="N66" s="85" t="e">
        <f t="shared" si="0"/>
        <v>#N/A</v>
      </c>
      <c r="O66" s="97" t="e">
        <f t="shared" si="3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1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2"/>
        <v>#N/A</v>
      </c>
      <c r="N67" s="85" t="e">
        <f t="shared" si="0"/>
        <v>#N/A</v>
      </c>
      <c r="O67" s="97" t="e">
        <f t="shared" si="3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1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2"/>
        <v>#N/A</v>
      </c>
      <c r="N68" s="85" t="e">
        <f t="shared" si="0"/>
        <v>#N/A</v>
      </c>
      <c r="O68" s="97" t="e">
        <f t="shared" si="3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1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2"/>
        <v>#N/A</v>
      </c>
      <c r="N69" s="85" t="e">
        <f t="shared" si="0"/>
        <v>#N/A</v>
      </c>
      <c r="O69" s="97" t="e">
        <f t="shared" si="3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1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2"/>
        <v>#N/A</v>
      </c>
      <c r="N70" s="85" t="e">
        <f t="shared" si="0"/>
        <v>#N/A</v>
      </c>
      <c r="O70" s="97" t="e">
        <f t="shared" si="3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1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2"/>
        <v>#N/A</v>
      </c>
      <c r="N71" s="85" t="e">
        <f t="shared" si="0"/>
        <v>#N/A</v>
      </c>
      <c r="O71" s="97" t="e">
        <f t="shared" si="3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1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2"/>
        <v>#N/A</v>
      </c>
      <c r="N72" s="85" t="e">
        <f t="shared" si="0"/>
        <v>#N/A</v>
      </c>
      <c r="O72" s="97" t="e">
        <f t="shared" si="3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1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2"/>
        <v>#N/A</v>
      </c>
      <c r="N73" s="85" t="e">
        <f t="shared" si="0"/>
        <v>#N/A</v>
      </c>
      <c r="O73" s="97" t="e">
        <f t="shared" si="3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1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2"/>
        <v>#N/A</v>
      </c>
      <c r="N74" s="85" t="e">
        <f t="shared" si="0"/>
        <v>#N/A</v>
      </c>
      <c r="O74" s="97" t="e">
        <f t="shared" si="3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1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2"/>
        <v>#N/A</v>
      </c>
      <c r="N75" s="85" t="e">
        <f t="shared" si="0"/>
        <v>#N/A</v>
      </c>
      <c r="O75" s="97" t="e">
        <f t="shared" si="3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1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2"/>
        <v>#N/A</v>
      </c>
      <c r="N76" s="85" t="e">
        <f t="shared" ref="N76:N139" si="4">L76/$L$151</f>
        <v>#N/A</v>
      </c>
      <c r="O76" s="97" t="e">
        <f t="shared" si="3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5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6">VALUE(L77)</f>
        <v>#N/A</v>
      </c>
      <c r="N77" s="85" t="e">
        <f t="shared" si="4"/>
        <v>#N/A</v>
      </c>
      <c r="O77" s="97" t="e">
        <f t="shared" ref="O77:O140" si="7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5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6"/>
        <v>#N/A</v>
      </c>
      <c r="N78" s="85" t="e">
        <f t="shared" si="4"/>
        <v>#N/A</v>
      </c>
      <c r="O78" s="97" t="e">
        <f t="shared" si="7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5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6"/>
        <v>#N/A</v>
      </c>
      <c r="N79" s="85" t="e">
        <f t="shared" si="4"/>
        <v>#N/A</v>
      </c>
      <c r="O79" s="97" t="e">
        <f t="shared" si="7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5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6"/>
        <v>#N/A</v>
      </c>
      <c r="N80" s="85" t="e">
        <f t="shared" si="4"/>
        <v>#N/A</v>
      </c>
      <c r="O80" s="97" t="e">
        <f t="shared" si="7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5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6"/>
        <v>#N/A</v>
      </c>
      <c r="N81" s="85" t="e">
        <f t="shared" si="4"/>
        <v>#N/A</v>
      </c>
      <c r="O81" s="97" t="e">
        <f t="shared" si="7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5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6"/>
        <v>#N/A</v>
      </c>
      <c r="N82" s="85" t="e">
        <f t="shared" si="4"/>
        <v>#N/A</v>
      </c>
      <c r="O82" s="97" t="e">
        <f t="shared" si="7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5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6"/>
        <v>#N/A</v>
      </c>
      <c r="N83" s="85" t="e">
        <f t="shared" si="4"/>
        <v>#N/A</v>
      </c>
      <c r="O83" s="97" t="e">
        <f t="shared" si="7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5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6"/>
        <v>#N/A</v>
      </c>
      <c r="N84" s="85" t="e">
        <f t="shared" si="4"/>
        <v>#N/A</v>
      </c>
      <c r="O84" s="97" t="e">
        <f t="shared" si="7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5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6"/>
        <v>#N/A</v>
      </c>
      <c r="N85" s="85" t="e">
        <f t="shared" si="4"/>
        <v>#N/A</v>
      </c>
      <c r="O85" s="97" t="e">
        <f t="shared" si="7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5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6"/>
        <v>#N/A</v>
      </c>
      <c r="N86" s="85" t="e">
        <f t="shared" si="4"/>
        <v>#N/A</v>
      </c>
      <c r="O86" s="97" t="e">
        <f t="shared" si="7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5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6"/>
        <v>#N/A</v>
      </c>
      <c r="N87" s="85" t="e">
        <f t="shared" si="4"/>
        <v>#N/A</v>
      </c>
      <c r="O87" s="97" t="e">
        <f t="shared" si="7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5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6"/>
        <v>#N/A</v>
      </c>
      <c r="N88" s="85" t="e">
        <f t="shared" si="4"/>
        <v>#N/A</v>
      </c>
      <c r="O88" s="97" t="e">
        <f t="shared" si="7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5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6"/>
        <v>#N/A</v>
      </c>
      <c r="N89" s="85" t="e">
        <f t="shared" si="4"/>
        <v>#N/A</v>
      </c>
      <c r="O89" s="97" t="e">
        <f t="shared" si="7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5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6"/>
        <v>#N/A</v>
      </c>
      <c r="N90" s="85" t="e">
        <f t="shared" si="4"/>
        <v>#N/A</v>
      </c>
      <c r="O90" s="97" t="e">
        <f t="shared" si="7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5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6"/>
        <v>#N/A</v>
      </c>
      <c r="N91" s="85" t="e">
        <f t="shared" si="4"/>
        <v>#N/A</v>
      </c>
      <c r="O91" s="97" t="e">
        <f t="shared" si="7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5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6"/>
        <v>#N/A</v>
      </c>
      <c r="N92" s="85" t="e">
        <f t="shared" si="4"/>
        <v>#N/A</v>
      </c>
      <c r="O92" s="97" t="e">
        <f t="shared" si="7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5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6"/>
        <v>#N/A</v>
      </c>
      <c r="N93" s="85" t="e">
        <f t="shared" si="4"/>
        <v>#N/A</v>
      </c>
      <c r="O93" s="97" t="e">
        <f t="shared" si="7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5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6"/>
        <v>#N/A</v>
      </c>
      <c r="N94" s="85" t="e">
        <f t="shared" si="4"/>
        <v>#N/A</v>
      </c>
      <c r="O94" s="97" t="e">
        <f t="shared" si="7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5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6"/>
        <v>#N/A</v>
      </c>
      <c r="N95" s="85" t="e">
        <f t="shared" si="4"/>
        <v>#N/A</v>
      </c>
      <c r="O95" s="97" t="e">
        <f t="shared" si="7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5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6"/>
        <v>#N/A</v>
      </c>
      <c r="N96" s="85" t="e">
        <f t="shared" si="4"/>
        <v>#N/A</v>
      </c>
      <c r="O96" s="97" t="e">
        <f t="shared" si="7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5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6"/>
        <v>#N/A</v>
      </c>
      <c r="N97" s="85" t="e">
        <f t="shared" si="4"/>
        <v>#N/A</v>
      </c>
      <c r="O97" s="97" t="e">
        <f t="shared" si="7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5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6"/>
        <v>#N/A</v>
      </c>
      <c r="N98" s="85" t="e">
        <f t="shared" si="4"/>
        <v>#N/A</v>
      </c>
      <c r="O98" s="97" t="e">
        <f t="shared" si="7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5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6"/>
        <v>#N/A</v>
      </c>
      <c r="N99" s="85" t="e">
        <f t="shared" si="4"/>
        <v>#N/A</v>
      </c>
      <c r="O99" s="97" t="e">
        <f t="shared" si="7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5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6"/>
        <v>#N/A</v>
      </c>
      <c r="N100" s="85" t="e">
        <f t="shared" si="4"/>
        <v>#N/A</v>
      </c>
      <c r="O100" s="97" t="e">
        <f t="shared" si="7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5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6"/>
        <v>#N/A</v>
      </c>
      <c r="N101" s="85" t="e">
        <f t="shared" si="4"/>
        <v>#N/A</v>
      </c>
      <c r="O101" s="97" t="e">
        <f t="shared" si="7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5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6"/>
        <v>#N/A</v>
      </c>
      <c r="N102" s="85" t="e">
        <f t="shared" si="4"/>
        <v>#N/A</v>
      </c>
      <c r="O102" s="97" t="e">
        <f t="shared" si="7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5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6"/>
        <v>#N/A</v>
      </c>
      <c r="N103" s="85" t="e">
        <f t="shared" si="4"/>
        <v>#N/A</v>
      </c>
      <c r="O103" s="97" t="e">
        <f t="shared" si="7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5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6"/>
        <v>#N/A</v>
      </c>
      <c r="N104" s="85" t="e">
        <f t="shared" si="4"/>
        <v>#N/A</v>
      </c>
      <c r="O104" s="97" t="e">
        <f t="shared" si="7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5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6"/>
        <v>#N/A</v>
      </c>
      <c r="N105" s="85" t="e">
        <f t="shared" si="4"/>
        <v>#N/A</v>
      </c>
      <c r="O105" s="97" t="e">
        <f t="shared" si="7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5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6"/>
        <v>#N/A</v>
      </c>
      <c r="N106" s="85" t="e">
        <f t="shared" si="4"/>
        <v>#N/A</v>
      </c>
      <c r="O106" s="97" t="e">
        <f t="shared" si="7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5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6"/>
        <v>#N/A</v>
      </c>
      <c r="N107" s="85" t="e">
        <f t="shared" si="4"/>
        <v>#N/A</v>
      </c>
      <c r="O107" s="97" t="e">
        <f t="shared" si="7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5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6"/>
        <v>#N/A</v>
      </c>
      <c r="N108" s="85" t="e">
        <f t="shared" si="4"/>
        <v>#N/A</v>
      </c>
      <c r="O108" s="97" t="e">
        <f t="shared" si="7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5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6"/>
        <v>#N/A</v>
      </c>
      <c r="N109" s="85" t="e">
        <f t="shared" si="4"/>
        <v>#N/A</v>
      </c>
      <c r="O109" s="97" t="e">
        <f t="shared" si="7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5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6"/>
        <v>#N/A</v>
      </c>
      <c r="N110" s="85" t="e">
        <f t="shared" si="4"/>
        <v>#N/A</v>
      </c>
      <c r="O110" s="97" t="e">
        <f t="shared" si="7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5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6"/>
        <v>#N/A</v>
      </c>
      <c r="N111" s="85" t="e">
        <f t="shared" si="4"/>
        <v>#N/A</v>
      </c>
      <c r="O111" s="97" t="e">
        <f t="shared" si="7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5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6"/>
        <v>#N/A</v>
      </c>
      <c r="N112" s="85" t="e">
        <f t="shared" si="4"/>
        <v>#N/A</v>
      </c>
      <c r="O112" s="97" t="e">
        <f t="shared" si="7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5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6"/>
        <v>#N/A</v>
      </c>
      <c r="N113" s="85" t="e">
        <f t="shared" si="4"/>
        <v>#N/A</v>
      </c>
      <c r="O113" s="97" t="e">
        <f t="shared" si="7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5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6"/>
        <v>#N/A</v>
      </c>
      <c r="N114" s="85" t="e">
        <f t="shared" si="4"/>
        <v>#N/A</v>
      </c>
      <c r="O114" s="97" t="e">
        <f t="shared" si="7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5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6"/>
        <v>#N/A</v>
      </c>
      <c r="N115" s="85" t="e">
        <f t="shared" si="4"/>
        <v>#N/A</v>
      </c>
      <c r="O115" s="97" t="e">
        <f t="shared" si="7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5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6"/>
        <v>#N/A</v>
      </c>
      <c r="N116" s="85" t="e">
        <f t="shared" si="4"/>
        <v>#N/A</v>
      </c>
      <c r="O116" s="97" t="e">
        <f t="shared" si="7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5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6"/>
        <v>#N/A</v>
      </c>
      <c r="N117" s="85" t="e">
        <f t="shared" si="4"/>
        <v>#N/A</v>
      </c>
      <c r="O117" s="97" t="e">
        <f t="shared" si="7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5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6"/>
        <v>#N/A</v>
      </c>
      <c r="N118" s="85" t="e">
        <f t="shared" si="4"/>
        <v>#N/A</v>
      </c>
      <c r="O118" s="97" t="e">
        <f t="shared" si="7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5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6"/>
        <v>#N/A</v>
      </c>
      <c r="N119" s="85" t="e">
        <f t="shared" si="4"/>
        <v>#N/A</v>
      </c>
      <c r="O119" s="97" t="e">
        <f t="shared" si="7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5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6"/>
        <v>#N/A</v>
      </c>
      <c r="N120" s="85" t="e">
        <f t="shared" si="4"/>
        <v>#N/A</v>
      </c>
      <c r="O120" s="97" t="e">
        <f t="shared" si="7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5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6"/>
        <v>#N/A</v>
      </c>
      <c r="N121" s="85" t="e">
        <f t="shared" si="4"/>
        <v>#N/A</v>
      </c>
      <c r="O121" s="97" t="e">
        <f t="shared" si="7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5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6"/>
        <v>#N/A</v>
      </c>
      <c r="N122" s="85" t="e">
        <f t="shared" si="4"/>
        <v>#N/A</v>
      </c>
      <c r="O122" s="97" t="e">
        <f t="shared" si="7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5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6"/>
        <v>#N/A</v>
      </c>
      <c r="N123" s="85" t="e">
        <f t="shared" si="4"/>
        <v>#N/A</v>
      </c>
      <c r="O123" s="97" t="e">
        <f t="shared" si="7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5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6"/>
        <v>#N/A</v>
      </c>
      <c r="N124" s="85" t="e">
        <f t="shared" si="4"/>
        <v>#N/A</v>
      </c>
      <c r="O124" s="97" t="e">
        <f t="shared" si="7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5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6"/>
        <v>#N/A</v>
      </c>
      <c r="N125" s="85" t="e">
        <f t="shared" si="4"/>
        <v>#N/A</v>
      </c>
      <c r="O125" s="97" t="e">
        <f t="shared" si="7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5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6"/>
        <v>#N/A</v>
      </c>
      <c r="N126" s="85" t="e">
        <f t="shared" si="4"/>
        <v>#N/A</v>
      </c>
      <c r="O126" s="97" t="e">
        <f t="shared" si="7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5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6"/>
        <v>#N/A</v>
      </c>
      <c r="N127" s="85" t="e">
        <f t="shared" si="4"/>
        <v>#N/A</v>
      </c>
      <c r="O127" s="97" t="e">
        <f t="shared" si="7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5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6"/>
        <v>#N/A</v>
      </c>
      <c r="N128" s="85" t="e">
        <f t="shared" si="4"/>
        <v>#N/A</v>
      </c>
      <c r="O128" s="97" t="e">
        <f t="shared" si="7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5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6"/>
        <v>#N/A</v>
      </c>
      <c r="N129" s="85" t="e">
        <f t="shared" si="4"/>
        <v>#N/A</v>
      </c>
      <c r="O129" s="97" t="e">
        <f t="shared" si="7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5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6"/>
        <v>#N/A</v>
      </c>
      <c r="N130" s="85" t="e">
        <f t="shared" si="4"/>
        <v>#N/A</v>
      </c>
      <c r="O130" s="97" t="e">
        <f t="shared" si="7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5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6"/>
        <v>#N/A</v>
      </c>
      <c r="N131" s="85" t="e">
        <f t="shared" si="4"/>
        <v>#N/A</v>
      </c>
      <c r="O131" s="97" t="e">
        <f t="shared" si="7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5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6"/>
        <v>#N/A</v>
      </c>
      <c r="N132" s="85" t="e">
        <f t="shared" si="4"/>
        <v>#N/A</v>
      </c>
      <c r="O132" s="97" t="e">
        <f t="shared" si="7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5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6"/>
        <v>#N/A</v>
      </c>
      <c r="N133" s="85" t="e">
        <f t="shared" si="4"/>
        <v>#N/A</v>
      </c>
      <c r="O133" s="97" t="e">
        <f t="shared" si="7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5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6"/>
        <v>#N/A</v>
      </c>
      <c r="N134" s="85" t="e">
        <f t="shared" si="4"/>
        <v>#N/A</v>
      </c>
      <c r="O134" s="97" t="e">
        <f t="shared" si="7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5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6"/>
        <v>#N/A</v>
      </c>
      <c r="N135" s="85" t="e">
        <f t="shared" si="4"/>
        <v>#N/A</v>
      </c>
      <c r="O135" s="97" t="e">
        <f t="shared" si="7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5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6"/>
        <v>#N/A</v>
      </c>
      <c r="N136" s="85" t="e">
        <f t="shared" si="4"/>
        <v>#N/A</v>
      </c>
      <c r="O136" s="97" t="e">
        <f t="shared" si="7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5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6"/>
        <v>#N/A</v>
      </c>
      <c r="N137" s="85" t="e">
        <f t="shared" si="4"/>
        <v>#N/A</v>
      </c>
      <c r="O137" s="97" t="e">
        <f t="shared" si="7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5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6"/>
        <v>#N/A</v>
      </c>
      <c r="N138" s="85" t="e">
        <f t="shared" si="4"/>
        <v>#N/A</v>
      </c>
      <c r="O138" s="97" t="e">
        <f t="shared" si="7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5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6"/>
        <v>#N/A</v>
      </c>
      <c r="N139" s="85" t="e">
        <f t="shared" si="4"/>
        <v>#N/A</v>
      </c>
      <c r="O139" s="97" t="e">
        <f t="shared" si="7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5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6"/>
        <v>#N/A</v>
      </c>
      <c r="N140" s="85" t="e">
        <f t="shared" ref="N140:N150" si="8">L140/$L$151</f>
        <v>#N/A</v>
      </c>
      <c r="O140" s="97" t="e">
        <f t="shared" si="7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9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0">VALUE(L141)</f>
        <v>#N/A</v>
      </c>
      <c r="N141" s="85" t="e">
        <f t="shared" si="8"/>
        <v>#N/A</v>
      </c>
      <c r="O141" s="97" t="e">
        <f t="shared" ref="O141:O150" si="11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9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0"/>
        <v>#N/A</v>
      </c>
      <c r="N142" s="85" t="e">
        <f t="shared" si="8"/>
        <v>#N/A</v>
      </c>
      <c r="O142" s="97" t="e">
        <f t="shared" si="11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9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0"/>
        <v>#N/A</v>
      </c>
      <c r="N143" s="85" t="e">
        <f t="shared" si="8"/>
        <v>#N/A</v>
      </c>
      <c r="O143" s="97" t="e">
        <f t="shared" si="11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9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0"/>
        <v>#N/A</v>
      </c>
      <c r="N144" s="85" t="e">
        <f t="shared" si="8"/>
        <v>#N/A</v>
      </c>
      <c r="O144" s="97" t="e">
        <f t="shared" si="11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9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0"/>
        <v>#N/A</v>
      </c>
      <c r="N145" s="85" t="e">
        <f t="shared" si="8"/>
        <v>#N/A</v>
      </c>
      <c r="O145" s="97" t="e">
        <f t="shared" si="11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9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0"/>
        <v>#N/A</v>
      </c>
      <c r="N146" s="85" t="e">
        <f t="shared" si="8"/>
        <v>#N/A</v>
      </c>
      <c r="O146" s="97" t="e">
        <f t="shared" si="11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9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0"/>
        <v>#N/A</v>
      </c>
      <c r="N147" s="85" t="e">
        <f t="shared" si="8"/>
        <v>#N/A</v>
      </c>
      <c r="O147" s="97" t="e">
        <f t="shared" si="11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9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0"/>
        <v>#N/A</v>
      </c>
      <c r="N148" s="85" t="e">
        <f t="shared" si="8"/>
        <v>#N/A</v>
      </c>
      <c r="O148" s="97" t="e">
        <f t="shared" si="11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9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0"/>
        <v>#N/A</v>
      </c>
      <c r="N149" s="85" t="e">
        <f t="shared" si="8"/>
        <v>#N/A</v>
      </c>
      <c r="O149" s="97" t="e">
        <f t="shared" si="11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9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0"/>
        <v>#N/A</v>
      </c>
      <c r="N150" s="45" t="e">
        <f t="shared" si="8"/>
        <v>#N/A</v>
      </c>
      <c r="O150" s="97" t="e">
        <f t="shared" si="11"/>
        <v>#N/A</v>
      </c>
    </row>
    <row r="151" spans="1:15" ht="14.25" thickTop="1" thickBot="1" x14ac:dyDescent="0.25">
      <c r="I151" s="148" t="s">
        <v>5363</v>
      </c>
      <c r="J151" s="149"/>
      <c r="K151" s="150"/>
      <c r="L151" s="63">
        <f>SUMIF(L10:L150,"&gt;=0")</f>
        <v>204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F8D04E29-5A6F-4437-9E9A-42BAEE1089D3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3" workbookViewId="0">
      <selection activeCell="B34" sqref="B34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5408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5410</v>
      </c>
      <c r="D9" s="49" t="s">
        <v>5401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5411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23" t="s">
        <v>234</v>
      </c>
      <c r="B10" s="44" t="str">
        <f>IF(LEN(VLOOKUP(A10,'Species List'!$A:$G,2,FALSE))=0,"",VLOOKUP(A10,'Species List'!$A:$G,2,FALSE))</f>
        <v>white snakeroot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25" t="s">
        <v>5394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5">
        <f t="shared" ref="N10:N41" si="2">L10/$L$150</f>
        <v>2.1505376344086023E-2</v>
      </c>
      <c r="O10" s="105">
        <f t="shared" ref="O10:O11" si="3">D10*N10</f>
        <v>2.1505376344086023E-2</v>
      </c>
    </row>
    <row r="11" spans="1:15" x14ac:dyDescent="0.2">
      <c r="A11" s="123" t="s">
        <v>2183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FACU+</v>
      </c>
      <c r="H11" s="44">
        <f>VLOOKUP(A11,'Species List'!$A:$G,7,FALSE)</f>
        <v>0</v>
      </c>
      <c r="J11" s="125" t="s">
        <v>5394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2.1505376344086023E-2</v>
      </c>
      <c r="O11" s="105">
        <f t="shared" si="3"/>
        <v>8.6021505376344093E-2</v>
      </c>
    </row>
    <row r="12" spans="1:15" x14ac:dyDescent="0.2">
      <c r="A12" s="123" t="s">
        <v>2840</v>
      </c>
      <c r="B12" s="44" t="str">
        <f>IF(LEN(VLOOKUP(A12,'Species List'!$A:$G,2,FALSE))=0,"",VLOOKUP(A12,'Species List'!$A:$G,2,FALSE))</f>
        <v>Canada mayflower</v>
      </c>
      <c r="C12" s="44">
        <f>IF(LEN(VLOOKUP(A12,'Species List'!$A:$G,3,FALSE))=0,"",VLOOKUP(A12,'Species List'!$A:$G,3,FALSE))</f>
        <v>5</v>
      </c>
      <c r="D12" s="98">
        <f>VALUE(C12)</f>
        <v>5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25" t="s">
        <v>5394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2.1505376344086023E-2</v>
      </c>
      <c r="O12" s="85">
        <f>D12*N12</f>
        <v>0.10752688172043012</v>
      </c>
    </row>
    <row r="13" spans="1:15" x14ac:dyDescent="0.2">
      <c r="A13" s="123" t="s">
        <v>2845</v>
      </c>
      <c r="B13" s="44" t="str">
        <f>IF(LEN(VLOOKUP(A13,'Species List'!$A:$G,2,FALSE))=0,"",VLOOKUP(A13,'Species List'!$A:$G,2,FALSE))</f>
        <v>starry false Solomon's seal</v>
      </c>
      <c r="C13" s="44">
        <f>IF(LEN(VLOOKUP(A13,'Species List'!$A:$G,3,FALSE))=0,"",VLOOKUP(A13,'Species List'!$A:$G,3,FALSE))</f>
        <v>5</v>
      </c>
      <c r="D13" s="98">
        <f t="shared" ref="D13:D75" si="4">VALUE(C13)</f>
        <v>5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[FAC-]</v>
      </c>
      <c r="H13" s="44">
        <f>VLOOKUP(A13,'Species List'!$A:$G,7,FALSE)</f>
        <v>0</v>
      </c>
      <c r="J13" s="125" t="s">
        <v>5394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2.1505376344086023E-2</v>
      </c>
      <c r="O13" s="97">
        <f t="shared" ref="O13:O75" si="6">D13*N13</f>
        <v>0.10752688172043012</v>
      </c>
    </row>
    <row r="14" spans="1:15" x14ac:dyDescent="0.2">
      <c r="A14" s="123" t="s">
        <v>4189</v>
      </c>
      <c r="B14" s="44" t="str">
        <f>IF(LEN(VLOOKUP(A14,'Species List'!$A:$G,2,FALSE))=0,"",VLOOKUP(A14,'Species List'!$A:$G,2,FALSE))</f>
        <v>greenbrier</v>
      </c>
      <c r="C14" s="44">
        <f>IF(LEN(VLOOKUP(A14,'Species List'!$A:$G,3,FALSE))=0,"",VLOOKUP(A14,'Species List'!$A:$G,3,FALSE))</f>
        <v>4</v>
      </c>
      <c r="D14" s="98">
        <f t="shared" si="4"/>
        <v>4</v>
      </c>
      <c r="E14" s="44" t="str">
        <f>IF(LEN(VLOOKUP(A14,'Species List'!$A:$G,4,FALSE))=0,"",VLOOKUP(A14,'Species List'!$A:$G,4,FALSE))</f>
        <v>C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[FAC]</v>
      </c>
      <c r="H14" s="44">
        <f>VLOOKUP(A14,'Species List'!$A:$G,7,FALSE)</f>
        <v>0</v>
      </c>
      <c r="J14" s="125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2.1505376344086023E-2</v>
      </c>
      <c r="O14" s="97">
        <f t="shared" si="6"/>
        <v>8.6021505376344093E-2</v>
      </c>
    </row>
    <row r="15" spans="1:15" x14ac:dyDescent="0.2">
      <c r="A15" s="123" t="s">
        <v>4458</v>
      </c>
      <c r="B15" s="44" t="str">
        <f>IF(LEN(VLOOKUP(A15,'Species List'!$A:$G,2,FALSE))=0,"",VLOOKUP(A15,'Species List'!$A:$G,2,FALSE))</f>
        <v>common dandelion</v>
      </c>
      <c r="C15" s="44">
        <f>IF(LEN(VLOOKUP(A15,'Species List'!$A:$G,3,FALSE))=0,"",VLOOKUP(A15,'Species List'!$A:$G,3,FALSE))</f>
        <v>0</v>
      </c>
      <c r="D15" s="98">
        <f t="shared" si="4"/>
        <v>0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5" t="s">
        <v>5394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2.1505376344086023E-2</v>
      </c>
      <c r="O15" s="97">
        <f t="shared" si="6"/>
        <v>0</v>
      </c>
    </row>
    <row r="16" spans="1:15" x14ac:dyDescent="0.2">
      <c r="A16" s="123" t="s">
        <v>2237</v>
      </c>
      <c r="B16" s="44" t="str">
        <f>IF(LEN(VLOOKUP(A16,'Species List'!$A:$G,2,FALSE))=0,"",VLOOKUP(A16,'Species List'!$A:$G,2,FALSE))</f>
        <v>white avens</v>
      </c>
      <c r="C16" s="44">
        <f>IF(LEN(VLOOKUP(A16,'Species List'!$A:$G,3,FALSE))=0,"",VLOOKUP(A16,'Species List'!$A:$G,3,FALSE))</f>
        <v>2</v>
      </c>
      <c r="D16" s="98">
        <f t="shared" si="4"/>
        <v>2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125" t="s">
        <v>5394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2.1505376344086023E-2</v>
      </c>
      <c r="O16" s="97">
        <f t="shared" si="6"/>
        <v>4.3010752688172046E-2</v>
      </c>
    </row>
    <row r="17" spans="1:15" x14ac:dyDescent="0.2">
      <c r="A17" s="123" t="s">
        <v>2298</v>
      </c>
      <c r="B17" s="44" t="str">
        <f>IF(LEN(VLOOKUP(A17,'Species List'!$A:$G,2,FALSE))=0,"",VLOOKUP(A17,'Species List'!$A:$G,2,FALSE))</f>
        <v>Virginia stickseed</v>
      </c>
      <c r="C17" s="44">
        <f>IF(LEN(VLOOKUP(A17,'Species List'!$A:$G,3,FALSE))=0,"",VLOOKUP(A17,'Species List'!$A:$G,3,FALSE))</f>
        <v>1</v>
      </c>
      <c r="D17" s="98">
        <f t="shared" si="4"/>
        <v>1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FAC-</v>
      </c>
      <c r="H17" s="44">
        <f>VLOOKUP(A17,'Species List'!$A:$G,7,FALSE)</f>
        <v>0</v>
      </c>
      <c r="J17" s="125" t="s">
        <v>5394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2.1505376344086023E-2</v>
      </c>
      <c r="O17" s="97">
        <f t="shared" si="6"/>
        <v>2.1505376344086023E-2</v>
      </c>
    </row>
    <row r="18" spans="1:15" x14ac:dyDescent="0.2">
      <c r="A18" s="123" t="s">
        <v>4466</v>
      </c>
      <c r="B18" s="44" t="str">
        <f>IF(LEN(VLOOKUP(A18,'Species List'!$A:$G,2,FALSE))=0,"",VLOOKUP(A18,'Species List'!$A:$G,2,FALSE))</f>
        <v>germander</v>
      </c>
      <c r="C18" s="44">
        <f>IF(LEN(VLOOKUP(A18,'Species List'!$A:$G,3,FALSE))=0,"",VLOOKUP(A18,'Species List'!$A:$G,3,FALSE))</f>
        <v>4</v>
      </c>
      <c r="D18" s="98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125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99">
        <f t="shared" si="5"/>
        <v>15</v>
      </c>
      <c r="N18" s="97">
        <f t="shared" si="2"/>
        <v>0.10752688172043011</v>
      </c>
      <c r="O18" s="97">
        <f t="shared" si="6"/>
        <v>0.43010752688172044</v>
      </c>
    </row>
    <row r="19" spans="1:15" x14ac:dyDescent="0.2">
      <c r="A19" s="123" t="s">
        <v>1418</v>
      </c>
      <c r="B19" s="44" t="str">
        <f>IF(LEN(VLOOKUP(A19,'Species List'!$A:$G,2,FALSE))=0,"",VLOOKUP(A19,'Species List'!$A:$G,2,FALSE))</f>
        <v>horseweed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[FAC-]</v>
      </c>
      <c r="H19" s="44">
        <f>VLOOKUP(A19,'Species List'!$A:$G,7,FALSE)</f>
        <v>0</v>
      </c>
      <c r="J19" s="125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99">
        <f t="shared" si="5"/>
        <v>15</v>
      </c>
      <c r="N19" s="97">
        <f t="shared" si="2"/>
        <v>0.10752688172043011</v>
      </c>
      <c r="O19" s="97">
        <f t="shared" si="6"/>
        <v>0</v>
      </c>
    </row>
    <row r="20" spans="1:15" x14ac:dyDescent="0.2">
      <c r="A20" s="123" t="s">
        <v>1364</v>
      </c>
      <c r="B20" s="44" t="str">
        <f>IF(LEN(VLOOKUP(A20,'Species List'!$A:$G,2,FALSE))=0,"",VLOOKUP(A20,'Species List'!$A:$G,2,FALSE))</f>
        <v>common enchanter's nightshade</v>
      </c>
      <c r="C20" s="44">
        <f>IF(LEN(VLOOKUP(A20,'Species List'!$A:$G,3,FALSE))=0,"",VLOOKUP(A20,'Species List'!$A:$G,3,FALSE))</f>
        <v>2</v>
      </c>
      <c r="D20" s="98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[FACU]</v>
      </c>
      <c r="H20" s="44">
        <f>VLOOKUP(A20,'Species List'!$A:$G,7,FALSE)</f>
        <v>0</v>
      </c>
      <c r="J20" s="125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2.1505376344086023E-2</v>
      </c>
      <c r="O20" s="97">
        <f t="shared" si="6"/>
        <v>4.3010752688172046E-2</v>
      </c>
    </row>
    <row r="21" spans="1:15" x14ac:dyDescent="0.2">
      <c r="A21" s="123" t="s">
        <v>1394</v>
      </c>
      <c r="B21" s="44" t="str">
        <f>IF(LEN(VLOOKUP(A21,'Species List'!$A:$G,2,FALSE))=0,"",VLOOKUP(A21,'Species List'!$A:$G,2,FALSE))</f>
        <v>virgin's bower</v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C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25" t="s">
        <v>5394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2.1505376344086023E-2</v>
      </c>
      <c r="O21" s="97">
        <f t="shared" si="6"/>
        <v>8.6021505376344093E-2</v>
      </c>
    </row>
    <row r="22" spans="1:15" x14ac:dyDescent="0.2">
      <c r="A22" s="123" t="s">
        <v>4419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6</v>
      </c>
      <c r="D22" s="98">
        <f t="shared" si="4"/>
        <v>6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</v>
      </c>
      <c r="H22" s="44">
        <f>VLOOKUP(A22,'Species List'!$A:$G,7,FALSE)</f>
        <v>0</v>
      </c>
      <c r="J22" s="125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2.1505376344086023E-2</v>
      </c>
      <c r="O22" s="97">
        <f t="shared" si="6"/>
        <v>0.12903225806451613</v>
      </c>
    </row>
    <row r="23" spans="1:15" x14ac:dyDescent="0.2">
      <c r="A23" s="123" t="s">
        <v>5430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4</v>
      </c>
      <c r="D23" s="98">
        <f t="shared" si="4"/>
        <v>4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25" t="s">
        <v>5394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2.1505376344086023E-2</v>
      </c>
      <c r="O23" s="97">
        <f t="shared" si="6"/>
        <v>8.6021505376344093E-2</v>
      </c>
    </row>
    <row r="24" spans="1:15" x14ac:dyDescent="0.2">
      <c r="A24" s="123" t="s">
        <v>2248</v>
      </c>
      <c r="B24" s="44" t="str">
        <f>IF(LEN(VLOOKUP(A24,'Species List'!$A:$G,2,FALSE))=0,"",VLOOKUP(A24,'Species List'!$A:$G,2,FALSE))</f>
        <v>creeping charlie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25">
        <v>2</v>
      </c>
      <c r="K24" s="47" t="str">
        <f>VLOOKUP(J24,'Species List'!$H$1:$J$9,2,FALSE)</f>
        <v>&gt;5-25%</v>
      </c>
      <c r="L24" s="47">
        <f>VLOOKUP(K24,'Species List'!$I$1:$N$8,2,FALSE)</f>
        <v>15</v>
      </c>
      <c r="M24" s="99">
        <f t="shared" si="5"/>
        <v>15</v>
      </c>
      <c r="N24" s="97">
        <f t="shared" si="2"/>
        <v>0.10752688172043011</v>
      </c>
      <c r="O24" s="97">
        <f t="shared" si="6"/>
        <v>0</v>
      </c>
    </row>
    <row r="25" spans="1:15" x14ac:dyDescent="0.2">
      <c r="A25" s="123" t="s">
        <v>1911</v>
      </c>
      <c r="B25" s="44" t="str">
        <f>IF(LEN(VLOOKUP(A25,'Species List'!$A:$G,2,FALSE))=0,"",VLOOKUP(A25,'Species List'!$A:$G,2,FALSE))</f>
        <v>purple-leaved willow herb</v>
      </c>
      <c r="C25" s="44">
        <f>IF(LEN(VLOOKUP(A25,'Species List'!$A:$G,3,FALSE))=0,"",VLOOKUP(A25,'Species List'!$A:$G,3,FALSE))</f>
        <v>3</v>
      </c>
      <c r="D25" s="98">
        <f t="shared" si="4"/>
        <v>3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OBL</v>
      </c>
      <c r="H25" s="44">
        <f>VLOOKUP(A25,'Species List'!$A:$G,7,FALSE)</f>
        <v>0</v>
      </c>
      <c r="J25" s="125" t="s">
        <v>5396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99">
        <f t="shared" si="5"/>
        <v>0.5</v>
      </c>
      <c r="N25" s="97">
        <f t="shared" si="2"/>
        <v>3.5842293906810036E-3</v>
      </c>
      <c r="O25" s="97">
        <f t="shared" si="6"/>
        <v>1.0752688172043012E-2</v>
      </c>
    </row>
    <row r="26" spans="1:15" x14ac:dyDescent="0.2">
      <c r="A26" s="123" t="s">
        <v>5413</v>
      </c>
      <c r="B26" s="44" t="str">
        <f>IF(LEN(VLOOKUP(A26,'Species List'!$A:$G,2,FALSE))=0,"",VLOOKUP(A26,'Species List'!$A:$G,2,FALSE))</f>
        <v>white lamb's quarters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FAC-</v>
      </c>
      <c r="H26" s="44">
        <f>VLOOKUP(A26,'Species List'!$A:$G,7,FALSE)</f>
        <v>0</v>
      </c>
      <c r="J26" s="125" t="s">
        <v>5394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2.1505376344086023E-2</v>
      </c>
      <c r="O26" s="97">
        <f t="shared" si="6"/>
        <v>0</v>
      </c>
    </row>
    <row r="27" spans="1:15" x14ac:dyDescent="0.2">
      <c r="A27" s="123" t="s">
        <v>199</v>
      </c>
      <c r="B27" s="44" t="str">
        <f>IF(LEN(VLOOKUP(A27,'Species List'!$A:$G,2,FALSE))=0,"",VLOOKUP(A27,'Species List'!$A:$G,2,FALSE))</f>
        <v>red baneberry</v>
      </c>
      <c r="C27" s="44">
        <f>IF(LEN(VLOOKUP(A27,'Species List'!$A:$G,3,FALSE))=0,"",VLOOKUP(A27,'Species List'!$A:$G,3,FALSE))</f>
        <v>7</v>
      </c>
      <c r="D27" s="98">
        <f t="shared" si="4"/>
        <v>7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5" t="s">
        <v>5394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2.1505376344086023E-2</v>
      </c>
      <c r="O27" s="97">
        <f t="shared" si="6"/>
        <v>0.15053763440860216</v>
      </c>
    </row>
    <row r="28" spans="1:15" x14ac:dyDescent="0.2">
      <c r="A28" s="123" t="s">
        <v>5428</v>
      </c>
      <c r="B28" s="44" t="str">
        <f>IF(LEN(VLOOKUP(A28,'Species List'!$A:$G,2,FALSE))=0,"",VLOOKUP(A28,'Species List'!$A:$G,2,FALSE))</f>
        <v>black nightshade</v>
      </c>
      <c r="C28" s="44">
        <f>IF(LEN(VLOOKUP(A28,'Species List'!$A:$G,3,FALSE))=0,"",VLOOKUP(A28,'Species List'!$A:$G,3,FALSE))</f>
        <v>1</v>
      </c>
      <c r="D28" s="98">
        <f t="shared" si="4"/>
        <v>1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25" t="s">
        <v>5394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2.1505376344086023E-2</v>
      </c>
      <c r="O28" s="97">
        <f t="shared" si="6"/>
        <v>2.1505376344086023E-2</v>
      </c>
    </row>
    <row r="29" spans="1:15" x14ac:dyDescent="0.2">
      <c r="A29" s="123" t="s">
        <v>2581</v>
      </c>
      <c r="B29" s="44" t="str">
        <f>IF(LEN(VLOOKUP(A29,'Species List'!$A:$G,2,FALSE))=0,"",VLOOKUP(A29,'Species List'!$A:$G,2,FALSE))</f>
        <v>woodnettle</v>
      </c>
      <c r="C29" s="44">
        <f>IF(LEN(VLOOKUP(A29,'Species List'!$A:$G,3,FALSE))=0,"",VLOOKUP(A29,'Species List'!$A:$G,3,FALSE))</f>
        <v>3</v>
      </c>
      <c r="D29" s="98">
        <f t="shared" si="4"/>
        <v>3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FACW</v>
      </c>
      <c r="H29" s="44">
        <f>VLOOKUP(A29,'Species List'!$A:$G,7,FALSE)</f>
        <v>0</v>
      </c>
      <c r="J29" s="125">
        <v>2</v>
      </c>
      <c r="K29" s="47" t="str">
        <f>VLOOKUP(J29,'Species List'!$H$1:$J$9,2,FALSE)</f>
        <v>&gt;5-25%</v>
      </c>
      <c r="L29" s="47">
        <f>VLOOKUP(K29,'Species List'!$I$1:$N$8,2,FALSE)</f>
        <v>15</v>
      </c>
      <c r="M29" s="99">
        <f t="shared" si="5"/>
        <v>15</v>
      </c>
      <c r="N29" s="97">
        <f t="shared" si="2"/>
        <v>0.10752688172043011</v>
      </c>
      <c r="O29" s="97">
        <f t="shared" si="6"/>
        <v>0.32258064516129031</v>
      </c>
    </row>
    <row r="30" spans="1:15" x14ac:dyDescent="0.2">
      <c r="A30" s="123" t="s">
        <v>5429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5" t="s">
        <v>5394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2.1505376344086023E-2</v>
      </c>
      <c r="O30" s="97">
        <f t="shared" si="6"/>
        <v>4.3010752688172046E-2</v>
      </c>
    </row>
    <row r="31" spans="1:15" x14ac:dyDescent="0.2">
      <c r="A31" s="123" t="s">
        <v>2577</v>
      </c>
      <c r="B31" s="44" t="str">
        <f>IF(LEN(VLOOKUP(A31,'Species List'!$A:$G,2,FALSE))=0,"",VLOOKUP(A31,'Species List'!$A:$G,2,FALSE))</f>
        <v>prickly lettuce</v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FAC</v>
      </c>
      <c r="H31" s="44">
        <f>VLOOKUP(A31,'Species List'!$A:$G,7,FALSE)</f>
        <v>0</v>
      </c>
      <c r="J31" s="125" t="s">
        <v>5394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2.1505376344086023E-2</v>
      </c>
      <c r="O31" s="97">
        <f t="shared" si="6"/>
        <v>0</v>
      </c>
    </row>
    <row r="32" spans="1:15" x14ac:dyDescent="0.2">
      <c r="A32" s="123" t="s">
        <v>2414</v>
      </c>
      <c r="B32" s="44" t="str">
        <f>IF(LEN(VLOOKUP(A32,'Species List'!$A:$G,2,FALSE))=0,"",VLOOKUP(A32,'Species List'!$A:$G,2,FALSE))</f>
        <v>common hops</v>
      </c>
      <c r="C32" s="44">
        <f>IF(LEN(VLOOKUP(A32,'Species List'!$A:$G,3,FALSE))=0,"",VLOOKUP(A32,'Species List'!$A:$G,3,FALSE))</f>
        <v>3</v>
      </c>
      <c r="D32" s="98">
        <f t="shared" si="4"/>
        <v>3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FACU*</v>
      </c>
      <c r="H32" s="44">
        <f>VLOOKUP(A32,'Species List'!$A:$G,7,FALSE)</f>
        <v>0</v>
      </c>
      <c r="J32" s="125" t="s">
        <v>5394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2.1505376344086023E-2</v>
      </c>
      <c r="O32" s="97">
        <f t="shared" si="6"/>
        <v>6.4516129032258063E-2</v>
      </c>
    </row>
    <row r="33" spans="1:15" x14ac:dyDescent="0.2">
      <c r="A33" s="123" t="s">
        <v>2628</v>
      </c>
      <c r="B33" s="44" t="str">
        <f>IF(LEN(VLOOKUP(A33,'Species List'!$A:$G,2,FALSE))=0,"",VLOOKUP(A33,'Species List'!$A:$G,2,FALSE))</f>
        <v>common motherwort</v>
      </c>
      <c r="C33" s="44">
        <f>IF(LEN(VLOOKUP(A33,'Species List'!$A:$G,3,FALSE))=0,"",VLOOKUP(A33,'Species List'!$A:$G,3,FALSE))</f>
        <v>0</v>
      </c>
      <c r="D33" s="98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25" t="s">
        <v>5394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2.1505376344086023E-2</v>
      </c>
      <c r="O33" s="97">
        <f t="shared" si="6"/>
        <v>0</v>
      </c>
    </row>
    <row r="34" spans="1:15" x14ac:dyDescent="0.2">
      <c r="A34" s="123" t="s">
        <v>3261</v>
      </c>
      <c r="B34" s="44" t="str">
        <f>IF(LEN(VLOOKUP(A34,'Species List'!$A:$G,2,FALSE))=0,"",VLOOKUP(A34,'Species List'!$A:$G,2,FALSE))</f>
        <v>Pennsylvania smartweed</v>
      </c>
      <c r="C34" s="44">
        <f>IF(LEN(VLOOKUP(A34,'Species List'!$A:$G,3,FALSE))=0,"",VLOOKUP(A34,'Species List'!$A:$G,3,FALSE))</f>
        <v>1</v>
      </c>
      <c r="D34" s="98">
        <f t="shared" si="4"/>
        <v>1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FACW+</v>
      </c>
      <c r="H34" s="44">
        <f>VLOOKUP(A34,'Species List'!$A:$G,7,FALSE)</f>
        <v>0</v>
      </c>
      <c r="J34" s="125" t="s">
        <v>5394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2.1505376344086023E-2</v>
      </c>
      <c r="O34" s="97">
        <f t="shared" si="6"/>
        <v>2.1505376344086023E-2</v>
      </c>
    </row>
    <row r="35" spans="1:15" x14ac:dyDescent="0.2">
      <c r="A35" s="123" t="s">
        <v>4250</v>
      </c>
      <c r="B35" s="44" t="str">
        <f>IF(LEN(VLOOKUP(A35,'Species List'!$A:$G,2,FALSE))=0,"",VLOOKUP(A35,'Species List'!$A:$G,2,FALSE))</f>
        <v>spiny sow thistle</v>
      </c>
      <c r="C35" s="44">
        <f>IF(LEN(VLOOKUP(A35,'Species List'!$A:$G,3,FALSE))=0,"",VLOOKUP(A35,'Species List'!$A:$G,3,FALSE))</f>
        <v>0</v>
      </c>
      <c r="D35" s="98">
        <f t="shared" si="4"/>
        <v>0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Introduced</v>
      </c>
      <c r="G35" s="44" t="str">
        <f>IF(LEN(VLOOKUP(A35,'Species List'!$A:$G,6,FALSE))=0,"",VLOOKUP(A35,'Species List'!$A:$G,6,FALSE))</f>
        <v>FAC</v>
      </c>
      <c r="H35" s="44">
        <f>VLOOKUP(A35,'Species List'!$A:$G,7,FALSE)</f>
        <v>0</v>
      </c>
      <c r="J35" s="125" t="s">
        <v>5396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99">
        <f t="shared" si="5"/>
        <v>0.5</v>
      </c>
      <c r="N35" s="97">
        <f t="shared" si="2"/>
        <v>3.5842293906810036E-3</v>
      </c>
      <c r="O35" s="97">
        <f t="shared" si="6"/>
        <v>0</v>
      </c>
    </row>
    <row r="36" spans="1:15" x14ac:dyDescent="0.2">
      <c r="A36" s="123" t="s">
        <v>4652</v>
      </c>
      <c r="B36" s="44" t="str">
        <f>IF(LEN(VLOOKUP(A36,'Species List'!$A:$G,2,FALSE))=0,"",VLOOKUP(A36,'Species List'!$A:$G,2,FALSE))</f>
        <v>white vervain</v>
      </c>
      <c r="C36" s="44">
        <f>IF(LEN(VLOOKUP(A36,'Species List'!$A:$G,3,FALSE))=0,"",VLOOKUP(A36,'Species List'!$A:$G,3,FALSE))</f>
        <v>6</v>
      </c>
      <c r="D36" s="98">
        <f t="shared" si="4"/>
        <v>6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FAC+</v>
      </c>
      <c r="H36" s="44">
        <f>VLOOKUP(A36,'Species List'!$A:$G,7,FALSE)</f>
        <v>0</v>
      </c>
      <c r="J36" s="125" t="s">
        <v>5396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99">
        <f t="shared" si="5"/>
        <v>0.5</v>
      </c>
      <c r="N36" s="97">
        <f t="shared" si="2"/>
        <v>3.5842293906810036E-3</v>
      </c>
      <c r="O36" s="97">
        <f t="shared" si="6"/>
        <v>2.1505376344086023E-2</v>
      </c>
    </row>
    <row r="37" spans="1:15" x14ac:dyDescent="0.2">
      <c r="A37" s="123" t="s">
        <v>551</v>
      </c>
      <c r="B37" s="44" t="str">
        <f>IF(LEN(VLOOKUP(A37,'Species List'!$A:$G,2,FALSE))=0,"",VLOOKUP(A37,'Species List'!$A:$G,2,FALSE))</f>
        <v>common milkweed</v>
      </c>
      <c r="C37" s="44">
        <f>IF(LEN(VLOOKUP(A37,'Species List'!$A:$G,3,FALSE))=0,"",VLOOKUP(A37,'Species List'!$A:$G,3,FALSE))</f>
        <v>1</v>
      </c>
      <c r="D37" s="98">
        <f t="shared" si="4"/>
        <v>1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25" t="s">
        <v>5396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99">
        <f t="shared" si="5"/>
        <v>0.5</v>
      </c>
      <c r="N37" s="97">
        <f t="shared" si="2"/>
        <v>3.5842293906810036E-3</v>
      </c>
      <c r="O37" s="97">
        <f t="shared" si="6"/>
        <v>3.5842293906810036E-3</v>
      </c>
    </row>
    <row r="38" spans="1:15" x14ac:dyDescent="0.2">
      <c r="A38" s="123" t="s">
        <v>461</v>
      </c>
      <c r="B38" s="44" t="str">
        <f>IF(LEN(VLOOKUP(A38,'Species List'!$A:$G,2,FALSE))=0,"",VLOOKUP(A38,'Species List'!$A:$G,2,FALSE))</f>
        <v>common burdock</v>
      </c>
      <c r="C38" s="44">
        <f>IF(LEN(VLOOKUP(A38,'Species List'!$A:$G,3,FALSE))=0,"",VLOOKUP(A38,'Species List'!$A:$G,3,FALSE))</f>
        <v>0</v>
      </c>
      <c r="D38" s="98">
        <f t="shared" si="4"/>
        <v>0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Introduced</v>
      </c>
      <c r="G38" s="44" t="str">
        <f>IF(LEN(VLOOKUP(A38,'Species List'!$A:$G,6,FALSE))=0,"",VLOOKUP(A38,'Species List'!$A:$G,6,FALSE))</f>
        <v>FACU</v>
      </c>
      <c r="H38" s="44">
        <f>VLOOKUP(A38,'Species List'!$A:$G,7,FALSE)</f>
        <v>0</v>
      </c>
      <c r="J38" s="125" t="s">
        <v>5396</v>
      </c>
      <c r="K38" s="47" t="str">
        <f>VLOOKUP(J38,'Species List'!$H$1:$J$9,2,FALSE)</f>
        <v>&gt;0-1%</v>
      </c>
      <c r="L38" s="47">
        <f>VLOOKUP(K38,'Species List'!$I$1:$N$8,2,FALSE)</f>
        <v>0.5</v>
      </c>
      <c r="M38" s="99">
        <f t="shared" si="5"/>
        <v>0.5</v>
      </c>
      <c r="N38" s="97">
        <f t="shared" si="2"/>
        <v>3.5842293906810036E-3</v>
      </c>
      <c r="O38" s="97">
        <f t="shared" si="6"/>
        <v>0</v>
      </c>
    </row>
    <row r="39" spans="1:15" x14ac:dyDescent="0.2">
      <c r="A39" s="123" t="s">
        <v>3701</v>
      </c>
      <c r="B39" s="44" t="str">
        <f>IF(LEN(VLOOKUP(A39,'Species List'!$A:$G,2,FALSE))=0,"",VLOOKUP(A39,'Species List'!$A:$G,2,FALSE))</f>
        <v>kidney-leaved buttercup</v>
      </c>
      <c r="C39" s="44">
        <f>IF(LEN(VLOOKUP(A39,'Species List'!$A:$G,3,FALSE))=0,"",VLOOKUP(A39,'Species List'!$A:$G,3,FALSE))</f>
        <v>1</v>
      </c>
      <c r="D39" s="98">
        <f t="shared" si="4"/>
        <v>1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FACW-</v>
      </c>
      <c r="H39" s="44">
        <f>VLOOKUP(A39,'Species List'!$A:$G,7,FALSE)</f>
        <v>0</v>
      </c>
      <c r="J39" s="125" t="s">
        <v>5396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99">
        <f t="shared" si="5"/>
        <v>0.5</v>
      </c>
      <c r="N39" s="97">
        <f t="shared" si="2"/>
        <v>3.5842293906810036E-3</v>
      </c>
      <c r="O39" s="97">
        <f t="shared" si="6"/>
        <v>3.5842293906810036E-3</v>
      </c>
    </row>
    <row r="40" spans="1:15" x14ac:dyDescent="0.2">
      <c r="A40" s="123" t="s">
        <v>4211</v>
      </c>
      <c r="B40" s="44" t="str">
        <f>IF(LEN(VLOOKUP(A40,'Species List'!$A:$G,2,FALSE))=0,"",VLOOKUP(A40,'Species List'!$A:$G,2,FALSE))</f>
        <v>giant goldenrod</v>
      </c>
      <c r="C40" s="44">
        <f>IF(LEN(VLOOKUP(A40,'Species List'!$A:$G,3,FALSE))=0,"",VLOOKUP(A40,'Species List'!$A:$G,3,FALSE))</f>
        <v>3</v>
      </c>
      <c r="D40" s="98">
        <f t="shared" si="4"/>
        <v>3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FACW</v>
      </c>
      <c r="H40" s="44">
        <f>VLOOKUP(A40,'Species List'!$A:$G,7,FALSE)</f>
        <v>0</v>
      </c>
      <c r="J40" s="125" t="s">
        <v>5394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2.1505376344086023E-2</v>
      </c>
      <c r="O40" s="97">
        <f t="shared" si="6"/>
        <v>6.4516129032258063E-2</v>
      </c>
    </row>
    <row r="41" spans="1:15" x14ac:dyDescent="0.2">
      <c r="A41" s="123" t="s">
        <v>4193</v>
      </c>
      <c r="B41" s="44" t="str">
        <f>IF(LEN(VLOOKUP(A41,'Species List'!$A:$G,2,FALSE))=0,"",VLOOKUP(A41,'Species List'!$A:$G,2,FALSE))</f>
        <v>bittersweet nightshade</v>
      </c>
      <c r="C41" s="44">
        <f>IF(LEN(VLOOKUP(A41,'Species List'!$A:$G,3,FALSE))=0,"",VLOOKUP(A41,'Species List'!$A:$G,3,FALSE))</f>
        <v>0</v>
      </c>
      <c r="D41" s="98">
        <f t="shared" si="4"/>
        <v>0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Introduced</v>
      </c>
      <c r="G41" s="44" t="str">
        <f>IF(LEN(VLOOKUP(A41,'Species List'!$A:$G,6,FALSE))=0,"",VLOOKUP(A41,'Species List'!$A:$G,6,FALSE))</f>
        <v>[FAC]</v>
      </c>
      <c r="H41" s="44">
        <f>VLOOKUP(A41,'Species List'!$A:$G,7,FALSE)</f>
        <v>0</v>
      </c>
      <c r="J41" s="125" t="s">
        <v>5396</v>
      </c>
      <c r="K41" s="47" t="str">
        <f>VLOOKUP(J41,'Species List'!$H$1:$J$9,2,FALSE)</f>
        <v>&gt;0-1%</v>
      </c>
      <c r="L41" s="47">
        <f>VLOOKUP(K41,'Species List'!$I$1:$N$8,2,FALSE)</f>
        <v>0.5</v>
      </c>
      <c r="M41" s="99">
        <f t="shared" si="5"/>
        <v>0.5</v>
      </c>
      <c r="N41" s="97">
        <f t="shared" si="2"/>
        <v>3.5842293906810036E-3</v>
      </c>
      <c r="O41" s="97">
        <f t="shared" si="6"/>
        <v>0</v>
      </c>
    </row>
    <row r="42" spans="1:15" x14ac:dyDescent="0.2">
      <c r="A42" s="123" t="s">
        <v>3257</v>
      </c>
      <c r="B42" s="44" t="str">
        <f>IF(LEN(VLOOKUP(A42,'Species List'!$A:$G,2,FALSE))=0,"",VLOOKUP(A42,'Species List'!$A:$G,2,FALSE))</f>
        <v>lady's thumb</v>
      </c>
      <c r="C42" s="44">
        <f>IF(LEN(VLOOKUP(A42,'Species List'!$A:$G,3,FALSE))=0,"",VLOOKUP(A42,'Species List'!$A:$G,3,FALSE))</f>
        <v>0</v>
      </c>
      <c r="D42" s="98">
        <f t="shared" si="4"/>
        <v>0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Introduced</v>
      </c>
      <c r="G42" s="44" t="str">
        <f>IF(LEN(VLOOKUP(A42,'Species List'!$A:$G,6,FALSE))=0,"",VLOOKUP(A42,'Species List'!$A:$G,6,FALSE))</f>
        <v>FACW</v>
      </c>
      <c r="H42" s="44">
        <f>VLOOKUP(A42,'Species List'!$A:$G,7,FALSE)</f>
        <v>0</v>
      </c>
      <c r="J42" s="125" t="s">
        <v>5396</v>
      </c>
      <c r="K42" s="47" t="str">
        <f>VLOOKUP(J42,'Species List'!$H$1:$J$9,2,FALSE)</f>
        <v>&gt;0-1%</v>
      </c>
      <c r="L42" s="47">
        <f>VLOOKUP(K42,'Species List'!$I$1:$N$8,2,FALSE)</f>
        <v>0.5</v>
      </c>
      <c r="M42" s="99">
        <f t="shared" si="5"/>
        <v>0.5</v>
      </c>
      <c r="N42" s="97">
        <f t="shared" ref="N42:N75" si="7">L42/$L$150</f>
        <v>3.5842293906810036E-3</v>
      </c>
      <c r="O42" s="97">
        <f t="shared" si="6"/>
        <v>0</v>
      </c>
    </row>
    <row r="43" spans="1:15" x14ac:dyDescent="0.2">
      <c r="A43" s="123" t="s">
        <v>3143</v>
      </c>
      <c r="B43" s="44" t="str">
        <f>IF(LEN(VLOOKUP(A43,'Species List'!$A:$G,2,FALSE))=0,"",VLOOKUP(A43,'Species List'!$A:$G,2,FALSE))</f>
        <v>yellow wood sorrel</v>
      </c>
      <c r="C43" s="44">
        <f>IF(LEN(VLOOKUP(A43,'Species List'!$A:$G,3,FALSE))=0,"",VLOOKUP(A43,'Species List'!$A:$G,3,FALSE))</f>
        <v>0</v>
      </c>
      <c r="D43" s="98">
        <f t="shared" si="4"/>
        <v>0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[FACU]</v>
      </c>
      <c r="H43" s="44">
        <f>VLOOKUP(A43,'Species List'!$A:$G,7,FALSE)</f>
        <v>0</v>
      </c>
      <c r="J43" s="125" t="s">
        <v>5394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2.1505376344086023E-2</v>
      </c>
      <c r="O43" s="97">
        <f t="shared" si="6"/>
        <v>0</v>
      </c>
    </row>
    <row r="44" spans="1:15" x14ac:dyDescent="0.2">
      <c r="A44" s="123" t="s">
        <v>155</v>
      </c>
      <c r="B44" s="44" t="str">
        <f>IF(LEN(VLOOKUP(A44,'Species List'!$A:$G,2,FALSE))=0,"",VLOOKUP(A44,'Species List'!$A:$G,2,FALSE))</f>
        <v>three-seeded mercury</v>
      </c>
      <c r="C44" s="44">
        <f>IF(LEN(VLOOKUP(A44,'Species List'!$A:$G,3,FALSE))=0,"",VLOOKUP(A44,'Species List'!$A:$G,3,FALSE))</f>
        <v>0</v>
      </c>
      <c r="D44" s="98">
        <f t="shared" si="4"/>
        <v>0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FACU</v>
      </c>
      <c r="H44" s="44">
        <f>VLOOKUP(A44,'Species List'!$A:$G,7,FALSE)</f>
        <v>0</v>
      </c>
      <c r="J44" s="125">
        <v>1</v>
      </c>
      <c r="K44" s="47" t="str">
        <f>VLOOKUP(J44,'Species List'!$H$1:$J$9,2,FALSE)</f>
        <v>&gt;1-5%</v>
      </c>
      <c r="L44" s="47">
        <f>VLOOKUP(K44,'Species List'!$I$1:$N$8,2,FALSE)</f>
        <v>3</v>
      </c>
      <c r="M44" s="99">
        <f t="shared" si="5"/>
        <v>3</v>
      </c>
      <c r="N44" s="97">
        <f t="shared" si="7"/>
        <v>2.1505376344086023E-2</v>
      </c>
      <c r="O44" s="97">
        <f t="shared" si="6"/>
        <v>0</v>
      </c>
    </row>
    <row r="45" spans="1:15" x14ac:dyDescent="0.2">
      <c r="A45" s="123" t="s">
        <v>4079</v>
      </c>
      <c r="B45" s="44" t="str">
        <f>IF(LEN(VLOOKUP(A45,'Species List'!$A:$G,2,FALSE))=0,"",VLOOKUP(A45,'Species List'!$A:$G,2,FALSE))</f>
        <v>lance-leaved figwort</v>
      </c>
      <c r="C45" s="44">
        <f>IF(LEN(VLOOKUP(A45,'Species List'!$A:$G,3,FALSE))=0,"",VLOOKUP(A45,'Species List'!$A:$G,3,FALSE))</f>
        <v>4</v>
      </c>
      <c r="D45" s="98">
        <f t="shared" si="4"/>
        <v>4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FACU+</v>
      </c>
      <c r="H45" s="44">
        <f>VLOOKUP(A45,'Species List'!$A:$G,7,FALSE)</f>
        <v>0</v>
      </c>
      <c r="J45" s="125" t="s">
        <v>5396</v>
      </c>
      <c r="K45" s="47" t="str">
        <f>VLOOKUP(J45,'Species List'!$H$1:$J$9,2,FALSE)</f>
        <v>&gt;0-1%</v>
      </c>
      <c r="L45" s="47">
        <f>VLOOKUP(K45,'Species List'!$I$1:$N$8,2,FALSE)</f>
        <v>0.5</v>
      </c>
      <c r="M45" s="99">
        <f t="shared" si="5"/>
        <v>0.5</v>
      </c>
      <c r="N45" s="97">
        <f t="shared" si="7"/>
        <v>3.5842293906810036E-3</v>
      </c>
      <c r="O45" s="97">
        <f t="shared" si="6"/>
        <v>1.4336917562724014E-2</v>
      </c>
    </row>
    <row r="46" spans="1:15" x14ac:dyDescent="0.2">
      <c r="A46" s="123" t="s">
        <v>4202</v>
      </c>
      <c r="B46" s="44" t="str">
        <f>IF(LEN(VLOOKUP(A46,'Species List'!$A:$G,2,FALSE))=0,"",VLOOKUP(A46,'Species List'!$A:$G,2,FALSE))</f>
        <v>late goldenrod</v>
      </c>
      <c r="C46" s="44">
        <f>IF(LEN(VLOOKUP(A46,'Species List'!$A:$G,3,FALSE))=0,"",VLOOKUP(A46,'Species List'!$A:$G,3,FALSE))</f>
        <v>1</v>
      </c>
      <c r="D46" s="98">
        <f t="shared" si="4"/>
        <v>1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FACU</v>
      </c>
      <c r="H46" s="44">
        <f>VLOOKUP(A46,'Species List'!$A:$G,7,FALSE)</f>
        <v>0</v>
      </c>
      <c r="J46" s="125" t="s">
        <v>5394</v>
      </c>
      <c r="K46" s="47" t="str">
        <f>VLOOKUP(J46,'Species List'!$H$1:$J$9,2,FALSE)</f>
        <v>&gt;1-5%</v>
      </c>
      <c r="L46" s="47">
        <f>VLOOKUP(K46,'Species List'!$I$1:$N$8,2,FALSE)</f>
        <v>3</v>
      </c>
      <c r="M46" s="99">
        <f t="shared" si="5"/>
        <v>3</v>
      </c>
      <c r="N46" s="97">
        <f t="shared" si="7"/>
        <v>2.1505376344086023E-2</v>
      </c>
      <c r="O46" s="97">
        <f t="shared" si="6"/>
        <v>2.1505376344086023E-2</v>
      </c>
    </row>
    <row r="47" spans="1:15" x14ac:dyDescent="0.2">
      <c r="A47" s="123" t="s">
        <v>4181</v>
      </c>
      <c r="B47" s="44" t="str">
        <f>IF(LEN(VLOOKUP(A47,'Species List'!$A:$G,2,FALSE))=0,"",VLOOKUP(A47,'Species List'!$A:$G,2,FALSE))</f>
        <v>erect carrion flower</v>
      </c>
      <c r="C47" s="44">
        <f>IF(LEN(VLOOKUP(A47,'Species List'!$A:$G,3,FALSE))=0,"",VLOOKUP(A47,'Species List'!$A:$G,3,FALSE))</f>
        <v>5</v>
      </c>
      <c r="D47" s="98">
        <f t="shared" si="4"/>
        <v>5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Native</v>
      </c>
      <c r="G47" s="44" t="str">
        <f>IF(LEN(VLOOKUP(A47,'Species List'!$A:$G,6,FALSE))=0,"",VLOOKUP(A47,'Species List'!$A:$G,6,FALSE))</f>
        <v/>
      </c>
      <c r="H47" s="44">
        <f>VLOOKUP(A47,'Species List'!$A:$G,7,FALSE)</f>
        <v>0</v>
      </c>
      <c r="J47" s="125" t="s">
        <v>5394</v>
      </c>
      <c r="K47" s="47" t="str">
        <f>VLOOKUP(J47,'Species List'!$H$1:$J$9,2,FALSE)</f>
        <v>&gt;1-5%</v>
      </c>
      <c r="L47" s="47">
        <f>VLOOKUP(K47,'Species List'!$I$1:$N$8,2,FALSE)</f>
        <v>3</v>
      </c>
      <c r="M47" s="99">
        <f t="shared" si="5"/>
        <v>3</v>
      </c>
      <c r="N47" s="97">
        <f t="shared" si="7"/>
        <v>2.1505376344086023E-2</v>
      </c>
      <c r="O47" s="97">
        <f t="shared" si="6"/>
        <v>0.10752688172043012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48" t="s">
        <v>5363</v>
      </c>
      <c r="J150" s="149"/>
      <c r="K150" s="150"/>
      <c r="L150" s="63">
        <f>SUMIF(L10:L149,"&gt;=0")</f>
        <v>139.5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F16" sqref="F16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5407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5410</v>
      </c>
      <c r="D9" s="49" t="s">
        <v>5401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5410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23" t="s">
        <v>4108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25" t="s">
        <v>5394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5">
        <f t="shared" ref="N10:N75" si="2">L10/$L$151</f>
        <v>5.8823529411764705E-2</v>
      </c>
      <c r="O10" s="105">
        <f t="shared" ref="O10:O76" si="3">D10*N10</f>
        <v>0</v>
      </c>
    </row>
    <row r="11" spans="1:15" x14ac:dyDescent="0.2">
      <c r="A11" s="123" t="s">
        <v>5440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25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5">
        <f t="shared" si="2"/>
        <v>0.29411764705882354</v>
      </c>
      <c r="O11" s="105">
        <f t="shared" si="3"/>
        <v>0.88235294117647056</v>
      </c>
    </row>
    <row r="12" spans="1:15" x14ac:dyDescent="0.2">
      <c r="A12" s="123" t="s">
        <v>5458</v>
      </c>
      <c r="B12" s="44" t="e">
        <f>IF(LEN(VLOOKUP(A12,'Species List'!$A:$G,2,FALSE))=0,"",VLOOKUP(A12,'Species List'!$A:$G,2,FALSE))</f>
        <v>#N/A</v>
      </c>
      <c r="C12" s="44">
        <v>3</v>
      </c>
      <c r="D12" s="98">
        <f t="shared" si="0"/>
        <v>3</v>
      </c>
      <c r="E12" s="44" t="s">
        <v>189</v>
      </c>
      <c r="F12" s="44" t="s">
        <v>147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25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si="1"/>
        <v>15</v>
      </c>
      <c r="N12" s="104">
        <f t="shared" si="2"/>
        <v>0.29411764705882354</v>
      </c>
      <c r="O12" s="104">
        <f t="shared" si="3"/>
        <v>0.88235294117647056</v>
      </c>
    </row>
    <row r="13" spans="1:15" x14ac:dyDescent="0.2">
      <c r="A13" s="123" t="s">
        <v>3176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25" t="s">
        <v>5394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5.8823529411764705E-2</v>
      </c>
      <c r="O13" s="97">
        <f t="shared" si="3"/>
        <v>0</v>
      </c>
    </row>
    <row r="14" spans="1:15" x14ac:dyDescent="0.2">
      <c r="A14" s="123" t="s">
        <v>5459</v>
      </c>
      <c r="B14" s="44" t="e">
        <f>IF(LEN(VLOOKUP(A14,'Species List'!$A:$G,2,FALSE))=0,"",VLOOKUP(A14,'Species List'!$A:$G,2,FALSE))</f>
        <v>#N/A</v>
      </c>
      <c r="C14" s="44">
        <v>3</v>
      </c>
      <c r="D14" s="98">
        <f t="shared" si="0"/>
        <v>3</v>
      </c>
      <c r="E14" s="44" t="s">
        <v>189</v>
      </c>
      <c r="F14" s="44" t="s">
        <v>147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5" t="s">
        <v>5394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5.8823529411764705E-2</v>
      </c>
      <c r="O14" s="97">
        <f t="shared" si="3"/>
        <v>0.1764705882352941</v>
      </c>
    </row>
    <row r="15" spans="1:15" x14ac:dyDescent="0.2">
      <c r="A15" s="123" t="s">
        <v>4113</v>
      </c>
      <c r="B15" s="44" t="str">
        <f>IF(LEN(VLOOKUP(A15,'Species List'!$A:$G,2,FALSE))=0,"",VLOOKUP(A15,'Species List'!$A:$G,2,FALSE))</f>
        <v>bristly foxtail</v>
      </c>
      <c r="C15" s="44">
        <f>IF(LEN(VLOOKUP(A15,'Species List'!$A:$G,3,FALSE))=0,"",VLOOKUP(A15,'Species List'!$A:$G,3,FALSE))</f>
        <v>0</v>
      </c>
      <c r="D15" s="98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5" t="s">
        <v>5394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5.8823529411764705E-2</v>
      </c>
      <c r="O15" s="97">
        <f t="shared" si="3"/>
        <v>0</v>
      </c>
    </row>
    <row r="16" spans="1:15" x14ac:dyDescent="0.2">
      <c r="A16" s="123" t="s">
        <v>5460</v>
      </c>
      <c r="B16" s="44" t="e">
        <f>IF(LEN(VLOOKUP(A16,'Species List'!$A:$G,2,FALSE))=0,"",VLOOKUP(A16,'Species List'!$A:$G,2,FALSE))</f>
        <v>#N/A</v>
      </c>
      <c r="C16" s="44">
        <v>0</v>
      </c>
      <c r="D16" s="98">
        <f t="shared" si="0"/>
        <v>0</v>
      </c>
      <c r="E16" s="44" t="s">
        <v>189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5" t="s">
        <v>5394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5.8823529411764705E-2</v>
      </c>
      <c r="O16" s="97">
        <f t="shared" si="3"/>
        <v>0</v>
      </c>
    </row>
    <row r="17" spans="1:15" x14ac:dyDescent="0.2">
      <c r="A17" s="123" t="s">
        <v>2616</v>
      </c>
      <c r="B17" s="44" t="str">
        <f>IF(LEN(VLOOKUP(A17,'Species List'!$A:$G,2,FALSE))=0,"",VLOOKUP(A17,'Species List'!$A:$G,2,FALSE))</f>
        <v>white grass</v>
      </c>
      <c r="C17" s="44">
        <f>IF(LEN(VLOOKUP(A17,'Species List'!$A:$G,3,FALSE))=0,"",VLOOKUP(A17,'Species List'!$A:$G,3,FALSE))</f>
        <v>5</v>
      </c>
      <c r="D17" s="98">
        <f t="shared" si="0"/>
        <v>5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</v>
      </c>
      <c r="H17" s="44">
        <f>VLOOKUP(A17,'Species List'!$A:$G,7,FALSE)</f>
        <v>0</v>
      </c>
      <c r="J17" s="125" t="s">
        <v>5394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5.8823529411764705E-2</v>
      </c>
      <c r="O17" s="97">
        <f t="shared" si="3"/>
        <v>0.29411764705882354</v>
      </c>
    </row>
    <row r="18" spans="1:15" x14ac:dyDescent="0.2">
      <c r="A18" s="123" t="s">
        <v>1714</v>
      </c>
      <c r="B18" s="44" t="str">
        <f>IF(LEN(VLOOKUP(A18,'Species List'!$A:$G,2,FALSE))=0,"",VLOOKUP(A18,'Species List'!$A:$G,2,FALSE))</f>
        <v>smooth crabgrass</v>
      </c>
      <c r="C18" s="44">
        <f>IF(LEN(VLOOKUP(A18,'Species List'!$A:$G,3,FALSE))=0,"",VLOOKUP(A18,'Species List'!$A:$G,3,FALSE))</f>
        <v>0</v>
      </c>
      <c r="D18" s="98">
        <f t="shared" si="0"/>
        <v>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5" t="s">
        <v>5394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1"/>
        <v>3</v>
      </c>
      <c r="N18" s="97">
        <f t="shared" si="2"/>
        <v>5.8823529411764705E-2</v>
      </c>
      <c r="O18" s="97">
        <f t="shared" si="3"/>
        <v>0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48" t="s">
        <v>5363</v>
      </c>
      <c r="J151" s="149"/>
      <c r="K151" s="150"/>
      <c r="L151" s="63">
        <f>SUMIF(L10:L150,"&gt;=0")</f>
        <v>51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94C1-D362-4150-823A-26789A1235B9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5464</v>
      </c>
    </row>
    <row r="2" spans="1:1" x14ac:dyDescent="0.2">
      <c r="A2" t="s">
        <v>5465</v>
      </c>
    </row>
    <row r="3" spans="1:1" x14ac:dyDescent="0.2">
      <c r="A3" t="s">
        <v>5466</v>
      </c>
    </row>
    <row r="4" spans="1:1" x14ac:dyDescent="0.2">
      <c r="A4" t="s">
        <v>5467</v>
      </c>
    </row>
    <row r="5" spans="1:1" x14ac:dyDescent="0.2">
      <c r="A5" t="s">
        <v>5468</v>
      </c>
    </row>
    <row r="6" spans="1:1" x14ac:dyDescent="0.2">
      <c r="A6" t="s">
        <v>5469</v>
      </c>
    </row>
    <row r="7" spans="1:1" x14ac:dyDescent="0.2">
      <c r="A7" t="s">
        <v>5455</v>
      </c>
    </row>
    <row r="8" spans="1:1" x14ac:dyDescent="0.2">
      <c r="A8" t="s">
        <v>5470</v>
      </c>
    </row>
    <row r="9" spans="1:1" x14ac:dyDescent="0.2">
      <c r="A9" t="s">
        <v>5471</v>
      </c>
    </row>
    <row r="10" spans="1:1" x14ac:dyDescent="0.2">
      <c r="A10" t="s">
        <v>5472</v>
      </c>
    </row>
    <row r="11" spans="1:1" x14ac:dyDescent="0.2">
      <c r="A11" t="s">
        <v>5473</v>
      </c>
    </row>
    <row r="12" spans="1:1" x14ac:dyDescent="0.2">
      <c r="A12" t="s">
        <v>5474</v>
      </c>
    </row>
    <row r="13" spans="1:1" x14ac:dyDescent="0.2">
      <c r="A13" t="s">
        <v>5475</v>
      </c>
    </row>
    <row r="14" spans="1:1" x14ac:dyDescent="0.2">
      <c r="A14" t="s">
        <v>5476</v>
      </c>
    </row>
    <row r="15" spans="1:1" x14ac:dyDescent="0.2">
      <c r="A15" t="s">
        <v>5477</v>
      </c>
    </row>
    <row r="16" spans="1:1" x14ac:dyDescent="0.2">
      <c r="A16" t="s">
        <v>5478</v>
      </c>
    </row>
    <row r="17" spans="1:1" x14ac:dyDescent="0.2">
      <c r="A17" t="s">
        <v>5479</v>
      </c>
    </row>
    <row r="18" spans="1:1" x14ac:dyDescent="0.2">
      <c r="A18" t="s">
        <v>5480</v>
      </c>
    </row>
    <row r="19" spans="1:1" x14ac:dyDescent="0.2">
      <c r="A19" t="s">
        <v>5481</v>
      </c>
    </row>
    <row r="20" spans="1:1" x14ac:dyDescent="0.2">
      <c r="A20" t="s">
        <v>5482</v>
      </c>
    </row>
    <row r="21" spans="1:1" x14ac:dyDescent="0.2">
      <c r="A21" t="s">
        <v>5483</v>
      </c>
    </row>
    <row r="22" spans="1:1" x14ac:dyDescent="0.2">
      <c r="A22" t="s">
        <v>5484</v>
      </c>
    </row>
    <row r="23" spans="1:1" x14ac:dyDescent="0.2">
      <c r="A23" t="s">
        <v>5485</v>
      </c>
    </row>
    <row r="24" spans="1:1" x14ac:dyDescent="0.2">
      <c r="A24" t="s">
        <v>5486</v>
      </c>
    </row>
    <row r="25" spans="1:1" x14ac:dyDescent="0.2">
      <c r="A25" t="s">
        <v>5487</v>
      </c>
    </row>
    <row r="26" spans="1:1" x14ac:dyDescent="0.2">
      <c r="A26" t="s">
        <v>5488</v>
      </c>
    </row>
    <row r="27" spans="1:1" x14ac:dyDescent="0.2">
      <c r="A27" t="s">
        <v>5489</v>
      </c>
    </row>
    <row r="28" spans="1:1" x14ac:dyDescent="0.2">
      <c r="A28" t="s">
        <v>5461</v>
      </c>
    </row>
    <row r="29" spans="1:1" x14ac:dyDescent="0.2">
      <c r="A29" t="s">
        <v>5462</v>
      </c>
    </row>
    <row r="30" spans="1:1" x14ac:dyDescent="0.2">
      <c r="A30" t="s">
        <v>5463</v>
      </c>
    </row>
    <row r="31" spans="1:1" x14ac:dyDescent="0.2">
      <c r="A31" t="s">
        <v>5490</v>
      </c>
    </row>
    <row r="32" spans="1:1" x14ac:dyDescent="0.2">
      <c r="A32" t="s">
        <v>5491</v>
      </c>
    </row>
    <row r="33" spans="1:1" x14ac:dyDescent="0.2">
      <c r="A33" t="s">
        <v>5492</v>
      </c>
    </row>
    <row r="34" spans="1:1" x14ac:dyDescent="0.2">
      <c r="A34" t="s">
        <v>5493</v>
      </c>
    </row>
    <row r="35" spans="1:1" x14ac:dyDescent="0.2">
      <c r="A35" t="s">
        <v>5494</v>
      </c>
    </row>
    <row r="36" spans="1:1" x14ac:dyDescent="0.2">
      <c r="A36" t="s">
        <v>5495</v>
      </c>
    </row>
    <row r="37" spans="1:1" x14ac:dyDescent="0.2">
      <c r="A37" t="s">
        <v>5496</v>
      </c>
    </row>
    <row r="38" spans="1:1" x14ac:dyDescent="0.2">
      <c r="A38" t="s">
        <v>5497</v>
      </c>
    </row>
    <row r="39" spans="1:1" x14ac:dyDescent="0.2">
      <c r="A39" t="s">
        <v>5498</v>
      </c>
    </row>
    <row r="40" spans="1:1" x14ac:dyDescent="0.2">
      <c r="A40" t="s">
        <v>5499</v>
      </c>
    </row>
    <row r="41" spans="1:1" x14ac:dyDescent="0.2">
      <c r="A41" t="s">
        <v>5500</v>
      </c>
    </row>
    <row r="42" spans="1:1" x14ac:dyDescent="0.2">
      <c r="A42" t="s">
        <v>5501</v>
      </c>
    </row>
    <row r="43" spans="1:1" x14ac:dyDescent="0.2">
      <c r="A43" t="s">
        <v>5502</v>
      </c>
    </row>
    <row r="44" spans="1:1" x14ac:dyDescent="0.2">
      <c r="A44" t="s">
        <v>5503</v>
      </c>
    </row>
    <row r="45" spans="1:1" x14ac:dyDescent="0.2">
      <c r="A45" t="s">
        <v>5504</v>
      </c>
    </row>
    <row r="46" spans="1:1" x14ac:dyDescent="0.2">
      <c r="A46" t="s">
        <v>5505</v>
      </c>
    </row>
    <row r="47" spans="1:1" x14ac:dyDescent="0.2">
      <c r="A47" t="s">
        <v>5506</v>
      </c>
    </row>
    <row r="48" spans="1:1" x14ac:dyDescent="0.2">
      <c r="A48" t="s">
        <v>5507</v>
      </c>
    </row>
    <row r="49" spans="1:1" x14ac:dyDescent="0.2">
      <c r="A49" t="s">
        <v>5508</v>
      </c>
    </row>
    <row r="50" spans="1:1" x14ac:dyDescent="0.2">
      <c r="A50" t="s">
        <v>5509</v>
      </c>
    </row>
    <row r="51" spans="1:1" x14ac:dyDescent="0.2">
      <c r="A51" t="s">
        <v>5510</v>
      </c>
    </row>
    <row r="52" spans="1:1" x14ac:dyDescent="0.2">
      <c r="A52" t="s">
        <v>5511</v>
      </c>
    </row>
    <row r="53" spans="1:1" x14ac:dyDescent="0.2">
      <c r="A53" t="s">
        <v>5512</v>
      </c>
    </row>
    <row r="54" spans="1:1" x14ac:dyDescent="0.2">
      <c r="A54" t="s">
        <v>5513</v>
      </c>
    </row>
    <row r="55" spans="1:1" x14ac:dyDescent="0.2">
      <c r="A55" t="s">
        <v>5514</v>
      </c>
    </row>
    <row r="56" spans="1:1" x14ac:dyDescent="0.2">
      <c r="A56" t="s">
        <v>5515</v>
      </c>
    </row>
    <row r="57" spans="1:1" x14ac:dyDescent="0.2">
      <c r="A57" t="s">
        <v>5516</v>
      </c>
    </row>
    <row r="58" spans="1:1" x14ac:dyDescent="0.2">
      <c r="A58" t="s">
        <v>5517</v>
      </c>
    </row>
    <row r="59" spans="1:1" x14ac:dyDescent="0.2">
      <c r="A59" t="s">
        <v>5518</v>
      </c>
    </row>
    <row r="60" spans="1:1" x14ac:dyDescent="0.2">
      <c r="A60" t="s">
        <v>5519</v>
      </c>
    </row>
    <row r="61" spans="1:1" x14ac:dyDescent="0.2">
      <c r="A61" t="s">
        <v>5520</v>
      </c>
    </row>
    <row r="62" spans="1:1" x14ac:dyDescent="0.2">
      <c r="A62" t="s">
        <v>5521</v>
      </c>
    </row>
    <row r="63" spans="1:1" x14ac:dyDescent="0.2">
      <c r="A63" t="s">
        <v>5522</v>
      </c>
    </row>
    <row r="64" spans="1:1" x14ac:dyDescent="0.2">
      <c r="A64" t="s">
        <v>5523</v>
      </c>
    </row>
    <row r="65" spans="1:1" x14ac:dyDescent="0.2">
      <c r="A65" t="s">
        <v>5524</v>
      </c>
    </row>
    <row r="66" spans="1:1" x14ac:dyDescent="0.2">
      <c r="A66" t="s">
        <v>5525</v>
      </c>
    </row>
    <row r="67" spans="1:1" x14ac:dyDescent="0.2">
      <c r="A67" t="s">
        <v>5526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B7" sqref="B7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4829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5406</v>
      </c>
      <c r="C2" s="56" t="s">
        <v>5402</v>
      </c>
      <c r="D2" s="56" t="s">
        <v>5403</v>
      </c>
      <c r="E2" s="56" t="s">
        <v>5404</v>
      </c>
      <c r="F2" s="56" t="s">
        <v>5405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5397</v>
      </c>
      <c r="B4" s="101">
        <f>COUNTIF(Woody!$F$10:$F$149,"Native")</f>
        <v>17</v>
      </c>
      <c r="C4" s="101">
        <f>COUNTIF(Forbs!$F$10:$F$147,"Native")</f>
        <v>29</v>
      </c>
      <c r="D4" s="101">
        <f>COUNTIF(Grasses!$F$10:$F$149,"Native")</f>
        <v>5</v>
      </c>
      <c r="E4" s="101">
        <f>AVERAGE(B4:D4)</f>
        <v>17</v>
      </c>
      <c r="F4" s="101">
        <f>SUM(B4:D4)</f>
        <v>51</v>
      </c>
    </row>
    <row r="5" spans="1:6" ht="18" x14ac:dyDescent="0.25">
      <c r="A5" s="53" t="s">
        <v>4834</v>
      </c>
      <c r="B5" s="101">
        <f>COUNTIF(Woody!$F10:$F199,"Introduced")</f>
        <v>3</v>
      </c>
      <c r="C5" s="101">
        <f>COUNTIF(Forbs!$F10:$F198,"Introduced")</f>
        <v>9</v>
      </c>
      <c r="D5" s="101">
        <f>COUNTIF(Grasses!$F10:$F199,"Introduced")</f>
        <v>3</v>
      </c>
      <c r="E5" s="101">
        <f t="shared" ref="E5:E6" si="0">AVERAGE(B5:D5)</f>
        <v>5</v>
      </c>
      <c r="F5" s="101">
        <f>SUM(B5:D5)</f>
        <v>15</v>
      </c>
    </row>
    <row r="6" spans="1:6" s="81" customFormat="1" ht="21" x14ac:dyDescent="0.35">
      <c r="A6" s="53" t="s">
        <v>5398</v>
      </c>
      <c r="B6" s="101">
        <f>SUM(B4:B5)</f>
        <v>20</v>
      </c>
      <c r="C6" s="101">
        <f>SUM(C4:C5)</f>
        <v>38</v>
      </c>
      <c r="D6" s="101">
        <f>SUM(D4:D5)</f>
        <v>8</v>
      </c>
      <c r="E6" s="101">
        <f t="shared" si="0"/>
        <v>22</v>
      </c>
      <c r="F6" s="101">
        <f>SUM(B6:D6)</f>
        <v>66</v>
      </c>
    </row>
    <row r="7" spans="1:6" ht="18" x14ac:dyDescent="0.25">
      <c r="A7" s="53" t="s">
        <v>4835</v>
      </c>
      <c r="B7" s="101">
        <f>AVERAGEIF(Woody!D10:D150,"&gt;0")</f>
        <v>3.1176470588235294</v>
      </c>
      <c r="C7" s="101">
        <f>AVERAGEIF(Forbs!D10:D149,"&gt;0")</f>
        <v>3.1923076923076925</v>
      </c>
      <c r="D7" s="101">
        <f>AVERAGEIF(Grasses!D10:D150,"&gt;0")</f>
        <v>3.5</v>
      </c>
      <c r="E7" s="101">
        <f>AVERAGE(B7:D7)</f>
        <v>3.2699849170437409</v>
      </c>
      <c r="F7" s="101">
        <f>(SUMIF(Woody!D10:D150,"&gt;0")+SUMIF(Forbs!D10:D149,"&gt;0")+SUMIF(Grasses!D10:D150,"&gt;0"))/(COUNTIF(Woody!D10:D150,"&gt;0")+COUNTIF(Forbs!D10:D149,"&gt;0")+COUNTIF(Grasses!D10:D150,"&gt;0"))</f>
        <v>3.1914893617021276</v>
      </c>
    </row>
    <row r="8" spans="1:6" s="31" customFormat="1" ht="21" x14ac:dyDescent="0.35">
      <c r="A8" s="53" t="s">
        <v>5399</v>
      </c>
      <c r="B8" s="101">
        <f>AVERAGEIF(Woody!D10:D150,"&gt;=0")</f>
        <v>2.65</v>
      </c>
      <c r="C8" s="101">
        <f>AVERAGEIF(Forbs!D10:D149,"&gt;=0")</f>
        <v>2.1842105263157894</v>
      </c>
      <c r="D8" s="101">
        <f>AVERAGEIF(Grasses!D10:D150,"&gt;=0")</f>
        <v>1.5555555555555556</v>
      </c>
      <c r="E8" s="101">
        <f>AVERAGE(B8:D8)</f>
        <v>2.1299220272904482</v>
      </c>
      <c r="F8" s="101">
        <f>(SUMIF(Woody!D10:D150,"&gt;=0")+SUMIF(Forbs!D10:D149,"&gt;=0")+SUMIF(Grasses!D10:D150,"&gt;=0"))/(COUNTIF(Woody!D10:D150,"&gt;=0")+COUNTIF(Forbs!D10:D149,"&gt;=0")+COUNTIF(Grasses!D10:D150,"&gt;=0"))</f>
        <v>2.2388059701492535</v>
      </c>
    </row>
    <row r="9" spans="1:6" ht="18" x14ac:dyDescent="0.25">
      <c r="A9" s="53" t="s">
        <v>4828</v>
      </c>
      <c r="B9" s="101">
        <f>SQRT(B4)*B7</f>
        <v>12.854388126925647</v>
      </c>
      <c r="C9" s="101">
        <f>SQRT(C4)*C7</f>
        <v>17.191103038160147</v>
      </c>
      <c r="D9" s="101">
        <f>SQRT(D4)*D7</f>
        <v>7.8262379212492643</v>
      </c>
      <c r="E9" s="101">
        <f>SQRT(E4)*E7</f>
        <v>13.482493207147947</v>
      </c>
      <c r="F9" s="101">
        <f>SQRT(F4)*F7</f>
        <v>22.79179285705165</v>
      </c>
    </row>
    <row r="10" spans="1:6" s="82" customFormat="1" ht="21" x14ac:dyDescent="0.35">
      <c r="A10" s="53" t="s">
        <v>5400</v>
      </c>
      <c r="B10" s="101">
        <f>SQRT(B6)*B8</f>
        <v>11.851160280748886</v>
      </c>
      <c r="C10" s="101">
        <f>SQRT(C6)*C8</f>
        <v>13.464377953853289</v>
      </c>
      <c r="D10" s="101">
        <f>SQRT(D6)*D8</f>
        <v>4.3997755273829631</v>
      </c>
      <c r="E10" s="101">
        <f>SQRT(E6)*E8</f>
        <v>9.9902198439981866</v>
      </c>
      <c r="F10" s="101">
        <f>SQRT(F6)*F8</f>
        <v>18.188145682020807</v>
      </c>
    </row>
    <row r="11" spans="1:6" ht="18" x14ac:dyDescent="0.25">
      <c r="A11" s="53" t="s">
        <v>4836</v>
      </c>
      <c r="B11" s="101">
        <f>SUMIF(Woody!$M$10:$M$150,"&gt;=0")</f>
        <v>204</v>
      </c>
      <c r="C11" s="101">
        <f>SUMIF(Forbs!$M$10:$M$150,"&gt;=0")</f>
        <v>139.5</v>
      </c>
      <c r="D11" s="101">
        <f>SUMIF(Grasses!$M$10:$M$150,"&gt;=0")</f>
        <v>51</v>
      </c>
      <c r="E11" s="101">
        <f>AVERAGE(B11:D11)</f>
        <v>131.5</v>
      </c>
      <c r="F11" s="101">
        <f>SUM(B11:D11)</f>
        <v>394.5</v>
      </c>
    </row>
    <row r="12" spans="1:6" ht="18" x14ac:dyDescent="0.25">
      <c r="A12" s="53" t="s">
        <v>5364</v>
      </c>
      <c r="B12" s="101">
        <f>SUMIF(Woody!$F$10:$F$150,"Introduced",Woody!$L$10:$L$150)</f>
        <v>30.5</v>
      </c>
      <c r="C12" s="101">
        <f>SUMIF(Forbs!$F$10:$F$150,"Introduced",Forbs!$L$10:$L$150)</f>
        <v>29</v>
      </c>
      <c r="D12" s="101">
        <f>SUMIF(Grasses!$F$10:$F$150,"Introduced",Grasses!$L$10:$L$150)</f>
        <v>9</v>
      </c>
      <c r="E12" s="101">
        <f>AVERAGE(B12:D12)</f>
        <v>22.833333333333332</v>
      </c>
      <c r="F12" s="101">
        <f>SUM(B12:D12)</f>
        <v>68.5</v>
      </c>
    </row>
    <row r="13" spans="1:6" ht="18.75" thickBot="1" x14ac:dyDescent="0.3">
      <c r="A13" s="54" t="s">
        <v>4837</v>
      </c>
      <c r="B13" s="102">
        <f>B12/B11</f>
        <v>0.14950980392156862</v>
      </c>
      <c r="C13" s="102">
        <f>C12/C11</f>
        <v>0.2078853046594982</v>
      </c>
      <c r="D13" s="102">
        <f>D12/D11</f>
        <v>0.17647058823529413</v>
      </c>
      <c r="E13" s="102">
        <f>E12/E11</f>
        <v>0.17363751584283904</v>
      </c>
      <c r="F13" s="102">
        <f>F12/F11</f>
        <v>0.17363751584283904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2.4068627450980391</v>
      </c>
      <c r="C15" s="100">
        <f>SUMIF(Forbs!$O$10:$O$149,"&gt;=0")</f>
        <v>2.1182795698924726</v>
      </c>
      <c r="D15" s="100">
        <f>SUMIF(Grasses!$O$10:$O$150,"&gt;=0")</f>
        <v>2.2352941176470589</v>
      </c>
      <c r="E15" s="100">
        <f>AVERAGE(B15:D15)</f>
        <v>2.2534788108791903</v>
      </c>
      <c r="F15" s="101">
        <f>SUM(B15:D15)</f>
        <v>6.7604364326375705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2025-11-25T03:05:44Z</dcterms:modified>
</cp:coreProperties>
</file>