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5C02DCC4-EAF4-414B-AB35-89F2C5B83AD7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C14" i="9"/>
  <c r="C15" i="9"/>
  <c r="C16" i="9"/>
  <c r="D16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9"/>
  <c r="D15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2" i="9"/>
  <c r="L32" i="9" s="1"/>
  <c r="M32" i="9" s="1"/>
  <c r="H32" i="9"/>
  <c r="G32" i="9"/>
  <c r="F32" i="9"/>
  <c r="E32" i="9"/>
  <c r="C32" i="9"/>
  <c r="D32" i="9" s="1"/>
  <c r="B32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3" i="9"/>
  <c r="O23" i="9" s="1"/>
  <c r="N29" i="9"/>
  <c r="O29" i="9" s="1"/>
  <c r="N22" i="9"/>
  <c r="O22" i="9" s="1"/>
  <c r="N25" i="9"/>
  <c r="O25" i="9" s="1"/>
  <c r="N26" i="9"/>
  <c r="O26" i="9" s="1"/>
  <c r="N24" i="9"/>
  <c r="O24" i="9" s="1"/>
  <c r="N16" i="9"/>
  <c r="O16" i="9" s="1"/>
  <c r="N15" i="9"/>
  <c r="O15" i="9" s="1"/>
  <c r="N14" i="9"/>
  <c r="O14" i="9" s="1"/>
  <c r="N20" i="9"/>
  <c r="O20" i="9" s="1"/>
  <c r="N21" i="9"/>
  <c r="O21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90" i="9"/>
  <c r="O90" i="9" s="1"/>
  <c r="N139" i="9"/>
  <c r="O139" i="9" s="1"/>
  <c r="N97" i="9"/>
  <c r="O97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<sst xmlns="http://schemas.openxmlformats.org/spreadsheetml/2006/main" count="13315" uniqueCount="5524">
  <si>
    <t>a</t>
    <phoneticPr fontId="14" type="noConversion"/>
  </si>
  <si>
    <t>b</t>
    <phoneticPr fontId="14" type="noConversion"/>
  </si>
  <si>
    <t>C</t>
    <phoneticPr fontId="14" type="noConversion"/>
  </si>
  <si>
    <t>E</t>
    <phoneticPr fontId="14" type="noConversion"/>
  </si>
  <si>
    <t>0.5-2m</t>
    <phoneticPr fontId="14" type="noConversion"/>
  </si>
  <si>
    <t>0.1-0.5m</t>
    <phoneticPr fontId="14" type="noConversion"/>
  </si>
  <si>
    <t>0-0.1m</t>
    <phoneticPr fontId="14" type="noConversion"/>
  </si>
  <si>
    <t>small colonies, broken mat</t>
    <phoneticPr fontId="14" type="noConversion"/>
  </si>
  <si>
    <t>large group, many plants</t>
    <phoneticPr fontId="14" type="noConversion"/>
  </si>
  <si>
    <t>small dense clumps</t>
    <phoneticPr fontId="14" type="noConversion"/>
  </si>
  <si>
    <t>growing singly</t>
    <phoneticPr fontId="14" type="noConversion"/>
  </si>
  <si>
    <t>Thatch:</t>
    <phoneticPr fontId="14" type="noConversion"/>
  </si>
  <si>
    <t>c</t>
    <phoneticPr fontId="14" type="noConversion"/>
  </si>
  <si>
    <t>i</t>
    <phoneticPr fontId="14" type="noConversion"/>
  </si>
  <si>
    <t>p</t>
    <phoneticPr fontId="14" type="noConversion"/>
  </si>
  <si>
    <t>r</t>
    <phoneticPr fontId="14" type="noConversion"/>
  </si>
  <si>
    <t>50-75%</t>
    <phoneticPr fontId="14" type="noConversion"/>
  </si>
  <si>
    <t>25-50%</t>
    <phoneticPr fontId="14" type="noConversion"/>
  </si>
  <si>
    <t>5-25%</t>
    <phoneticPr fontId="14" type="noConversion"/>
  </si>
  <si>
    <t>1-5%</t>
    <phoneticPr fontId="14" type="noConversion"/>
  </si>
  <si>
    <t>Extensive mat</t>
    <phoneticPr fontId="14" type="noConversion"/>
  </si>
  <si>
    <t>Abundance</t>
    <phoneticPr fontId="14" type="noConversion"/>
  </si>
  <si>
    <t>Group</t>
    <phoneticPr fontId="14" type="noConversion"/>
  </si>
  <si>
    <t>B</t>
    <phoneticPr fontId="14" type="noConversion"/>
  </si>
  <si>
    <t>D</t>
    <phoneticPr fontId="14" type="noConversion"/>
  </si>
  <si>
    <t>G</t>
    <phoneticPr fontId="14" type="noConversion"/>
  </si>
  <si>
    <t>H</t>
    <phoneticPr fontId="14" type="noConversion"/>
  </si>
  <si>
    <t>L</t>
    <phoneticPr fontId="14" type="noConversion"/>
  </si>
  <si>
    <t>K</t>
    <phoneticPr fontId="14" type="noConversion"/>
  </si>
  <si>
    <t>X</t>
    <phoneticPr fontId="14" type="noConversion"/>
  </si>
  <si>
    <t>Broadleaf evergreen</t>
    <phoneticPr fontId="14" type="noConversion"/>
  </si>
  <si>
    <t>Broadleaf deciduous</t>
    <phoneticPr fontId="14" type="noConversion"/>
  </si>
  <si>
    <t>Needleleaf evergreen</t>
    <phoneticPr fontId="14" type="noConversion"/>
  </si>
  <si>
    <t>Graminoids</t>
    <phoneticPr fontId="14" type="noConversion"/>
  </si>
  <si>
    <t>Forbs</t>
    <phoneticPr fontId="14" type="noConversion"/>
  </si>
  <si>
    <t>Lichens &amp; mosses</t>
    <phoneticPr fontId="14" type="noConversion"/>
  </si>
  <si>
    <t>Climbers</t>
    <phoneticPr fontId="14" type="noConversion"/>
  </si>
  <si>
    <t>Stem succulents</t>
    <phoneticPr fontId="14" type="noConversion"/>
  </si>
  <si>
    <t>Epiphytes</t>
    <phoneticPr fontId="14" type="noConversion"/>
  </si>
  <si>
    <t xml:space="preserve"> +</t>
    <phoneticPr fontId="14" type="noConversion"/>
  </si>
  <si>
    <t>&lt;5% cover, many individuals</t>
    <phoneticPr fontId="14" type="noConversion"/>
  </si>
  <si>
    <t>&lt;5% cover, few (2-20) individuals</t>
    <phoneticPr fontId="14" type="noConversion"/>
  </si>
  <si>
    <t>&lt;5% cover, single</t>
    <phoneticPr fontId="14" type="noConversion"/>
  </si>
  <si>
    <t>Life Form</t>
    <phoneticPr fontId="14" type="noConversion"/>
  </si>
  <si>
    <t>Height</t>
    <phoneticPr fontId="14" type="noConversion"/>
  </si>
  <si>
    <t>Sociability</t>
    <phoneticPr fontId="14" type="noConversion"/>
  </si>
  <si>
    <t>&gt;35m</t>
    <phoneticPr fontId="14" type="noConversion"/>
  </si>
  <si>
    <t>20-35m</t>
    <phoneticPr fontId="14" type="noConversion"/>
  </si>
  <si>
    <t>10-20m</t>
    <phoneticPr fontId="14" type="noConversion"/>
  </si>
  <si>
    <t>5-10m</t>
    <phoneticPr fontId="14" type="noConversion"/>
  </si>
  <si>
    <t>2-5m</t>
    <phoneticPr fontId="14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</si>
  <si>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</si>
  <si>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</si>
  <si>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</si>
  <si>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</si>
  <si>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</si>
  <si>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</si>
  <si>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</si>
  <si>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</si>
  <si>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</si>
  <si>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</si>
  <si>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</si>
  <si>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</si>
  <si>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</si>
  <si>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</si>
  <si>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</si>
  <si>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</si>
  <si>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</si>
  <si>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</si>
  <si>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</si>
  <si>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</si>
  <si>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</si>
  <si>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</si>
  <si>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</si>
  <si>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</si>
  <si>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</si>
  <si>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</si>
  <si>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</si>
  <si>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</si>
  <si>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</si>
  <si>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</si>
  <si>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</si>
  <si>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</si>
  <si>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</si>
  <si>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</si>
  <si>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</si>
  <si>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</si>
  <si>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</si>
  <si>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</si>
  <si>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</si>
  <si>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</si>
  <si>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</si>
  <si>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</si>
  <si>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</si>
  <si>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</si>
  <si>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</si>
  <si>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</si>
  <si>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</si>
  <si>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</si>
  <si>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</si>
  <si>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</si>
  <si>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</si>
  <si>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</si>
  <si>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</si>
  <si>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</si>
  <si>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</si>
  <si>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</si>
  <si>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</si>
  <si>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</si>
  <si>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</si>
  <si>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</si>
  <si>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</si>
  <si>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</si>
  <si>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</si>
  <si>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</si>
  <si>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</si>
  <si>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</si>
  <si>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</si>
  <si>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</si>
  <si>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</si>
  <si>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</si>
  <si>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</si>
  <si>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</si>
  <si>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</si>
  <si>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</si>
  <si>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</si>
  <si>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</si>
  <si>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</si>
  <si>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</si>
  <si>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</si>
  <si>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</si>
  <si>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</si>
  <si>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</si>
  <si>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</si>
  <si>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</si>
  <si>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</si>
  <si>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</si>
  <si>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</si>
  <si>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</si>
  <si>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</si>
  <si>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</si>
  <si>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</si>
  <si>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</si>
  <si>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</si>
  <si>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</si>
  <si>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</si>
  <si>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</si>
  <si>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</si>
  <si>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</si>
  <si>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</si>
  <si>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</si>
  <si>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</si>
  <si>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</si>
  <si>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</si>
  <si>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</si>
  <si>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</si>
  <si>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</si>
  <si>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</si>
  <si>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</si>
  <si>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</si>
  <si>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</si>
  <si>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</si>
  <si>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</si>
  <si>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</si>
  <si>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</si>
  <si>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</si>
  <si>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</si>
  <si>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</si>
  <si>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</si>
  <si>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</si>
  <si>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</si>
  <si>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</si>
  <si>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</si>
  <si>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</si>
  <si>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</si>
  <si>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</si>
  <si>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</si>
  <si>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</si>
  <si>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</si>
  <si>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</si>
  <si>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</si>
  <si>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</si>
  <si>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</si>
  <si>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</si>
  <si>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</si>
  <si>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</si>
  <si>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</si>
  <si>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</si>
  <si>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</si>
  <si>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</si>
  <si>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</si>
  <si>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</si>
  <si>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</si>
  <si>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</si>
  <si>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</si>
  <si>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</si>
  <si>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</si>
  <si>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</si>
  <si>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</si>
  <si>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</si>
  <si>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</si>
  <si>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</si>
  <si>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</si>
  <si>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</si>
  <si>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</si>
  <si>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</si>
  <si>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</si>
  <si>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</si>
  <si>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</si>
  <si>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</si>
  <si>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</si>
  <si>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</si>
  <si>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</si>
  <si>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</si>
  <si>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</si>
  <si>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</si>
  <si>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</si>
  <si>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</si>
  <si>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</si>
  <si>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</si>
  <si>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</si>
  <si>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</si>
  <si>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</si>
  <si>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</si>
  <si>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</si>
  <si>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</si>
  <si>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</si>
  <si>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</si>
  <si>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</si>
  <si>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</si>
  <si>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</si>
  <si>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</si>
  <si>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</si>
  <si>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</si>
  <si>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</si>
  <si>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</si>
  <si>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</si>
  <si>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</si>
  <si>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</si>
  <si>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</si>
  <si>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</si>
  <si>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</si>
  <si>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</si>
  <si>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</si>
  <si>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</si>
  <si>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</si>
  <si>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</si>
  <si>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</si>
  <si>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</si>
  <si>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</si>
  <si>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</si>
  <si>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</si>
  <si>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</si>
  <si>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</si>
  <si>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</si>
  <si>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</si>
  <si>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</si>
  <si>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</si>
  <si>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</si>
  <si>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</si>
  <si>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</si>
  <si>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</si>
  <si>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</si>
  <si>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</si>
  <si>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</si>
  <si>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</si>
  <si>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</si>
  <si>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</si>
  <si>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</si>
  <si>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</si>
  <si>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</si>
  <si>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</si>
  <si>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</si>
  <si>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</si>
  <si>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</si>
  <si>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</si>
  <si>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</si>
  <si>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</si>
  <si>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</si>
  <si>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</si>
  <si>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</si>
  <si>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</si>
  <si>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</si>
  <si>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</si>
  <si>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</si>
  <si>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</si>
  <si>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</si>
  <si>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</si>
  <si>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</si>
  <si>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</si>
  <si>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</si>
  <si>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</si>
  <si>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</si>
  <si>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</si>
  <si>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</si>
  <si>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</si>
  <si>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</si>
  <si>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</si>
  <si>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</si>
  <si>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</si>
  <si>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</si>
  <si>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</si>
  <si>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</si>
  <si>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</si>
  <si>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</si>
  <si>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</si>
  <si>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</si>
  <si>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</si>
  <si>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</si>
  <si>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</si>
  <si>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</si>
  <si>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</si>
  <si>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</si>
  <si>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</si>
  <si>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</si>
  <si>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</si>
  <si>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</si>
  <si>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</si>
  <si>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</si>
  <si>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</si>
  <si>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</si>
  <si>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</si>
  <si>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</si>
  <si>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</si>
  <si>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</si>
  <si>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</si>
  <si>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</si>
  <si>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</si>
  <si>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</si>
  <si>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</si>
  <si>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</si>
  <si>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</si>
  <si>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</si>
  <si>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</si>
  <si>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</si>
  <si>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</si>
  <si>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</si>
  <si>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</si>
  <si>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</si>
  <si>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</si>
  <si>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</si>
  <si>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</si>
  <si>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</si>
  <si>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</si>
  <si>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</si>
  <si>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</si>
  <si>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</si>
  <si>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</si>
  <si>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</si>
  <si>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</si>
  <si>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</si>
  <si>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</si>
  <si>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</si>
  <si>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</si>
  <si>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</si>
  <si>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</si>
  <si>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</si>
  <si>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</si>
  <si>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</si>
  <si>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</si>
  <si>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</si>
  <si>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</si>
  <si>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</si>
  <si>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</si>
  <si>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</si>
  <si>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</si>
  <si>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</si>
  <si>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</si>
  <si>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</si>
  <si>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</si>
  <si>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</si>
  <si>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</si>
  <si>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</si>
  <si>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</si>
  <si>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</si>
  <si>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</si>
  <si>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</si>
  <si>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</si>
  <si>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</si>
  <si>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</si>
  <si>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</si>
  <si>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</si>
  <si>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</si>
  <si>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</si>
  <si>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</si>
  <si>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</si>
  <si>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</si>
  <si>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</si>
  <si>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</si>
  <si>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</si>
  <si>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</si>
  <si>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</si>
  <si>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</si>
  <si>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</si>
  <si>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</si>
  <si>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</si>
  <si>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</si>
  <si>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</si>
  <si>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</si>
  <si>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</si>
  <si>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</si>
  <si>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</si>
  <si>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</si>
  <si>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</si>
  <si>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</si>
  <si>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</si>
  <si>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</si>
  <si>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</si>
  <si>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</si>
  <si>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</si>
  <si>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</si>
  <si>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</si>
  <si>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</si>
  <si>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</si>
  <si>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</si>
  <si>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</si>
  <si>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</si>
  <si>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</si>
  <si>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</si>
  <si>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</si>
  <si>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</si>
  <si>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</si>
  <si>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</si>
  <si>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</si>
  <si>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</si>
  <si>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</si>
  <si>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</si>
  <si>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</si>
  <si>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</si>
  <si>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</si>
  <si>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</si>
  <si>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</si>
  <si>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</si>
  <si>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</si>
  <si>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</si>
  <si>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</si>
  <si>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</si>
  <si>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</si>
  <si>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</si>
  <si>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</si>
  <si>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</si>
  <si>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</si>
  <si>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</si>
  <si>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</si>
  <si>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</si>
  <si>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</si>
  <si>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</si>
  <si>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</si>
  <si>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</si>
  <si>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</si>
  <si>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</si>
  <si>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</si>
  <si>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</si>
  <si>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</si>
  <si>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</si>
  <si>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</si>
  <si>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</si>
  <si>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</si>
  <si>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</si>
  <si>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</si>
  <si>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</si>
  <si>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</si>
  <si>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</si>
  <si>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</si>
  <si>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</si>
  <si>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</si>
  <si>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</si>
  <si>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</si>
  <si>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</si>
  <si>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</si>
  <si>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</si>
  <si>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</si>
  <si>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</si>
  <si>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</si>
  <si>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</si>
  <si>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</si>
  <si>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</si>
  <si>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</si>
  <si>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</si>
  <si>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</si>
  <si>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</si>
  <si>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</si>
  <si>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</si>
  <si>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</si>
  <si>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</si>
  <si>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</si>
  <si>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</si>
  <si>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</si>
  <si>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</si>
  <si>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</si>
  <si>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</si>
  <si>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</si>
  <si>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</si>
  <si>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</si>
  <si>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</si>
  <si>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</si>
  <si>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</si>
  <si>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</si>
  <si>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</si>
  <si>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</si>
  <si>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</si>
  <si>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</si>
  <si>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</si>
  <si>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</si>
  <si>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</si>
  <si>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</si>
  <si>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</si>
  <si>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</si>
  <si>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</si>
  <si>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</si>
  <si>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</si>
  <si>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</si>
  <si>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</si>
  <si>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</si>
  <si>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</si>
  <si>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</si>
  <si>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</si>
  <si>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</si>
  <si>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</si>
  <si>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</si>
  <si>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</si>
  <si>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</si>
  <si>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</si>
  <si>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</si>
  <si>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</si>
  <si>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</si>
  <si>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</si>
  <si>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</si>
  <si>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</si>
  <si>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</si>
  <si>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</si>
  <si>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</si>
  <si>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</si>
  <si>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</si>
  <si>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</si>
  <si>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</si>
  <si>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</si>
  <si>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</si>
  <si>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</si>
  <si>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</si>
  <si>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</si>
  <si>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</si>
  <si>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</si>
  <si>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</si>
  <si>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</si>
  <si>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</si>
  <si>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</si>
  <si>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</si>
  <si>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</si>
  <si>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</si>
  <si>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</si>
  <si>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</si>
  <si>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</si>
  <si>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</si>
  <si>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</si>
  <si>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</si>
  <si>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</si>
  <si>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</si>
  <si>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</si>
  <si>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</si>
  <si>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</si>
  <si>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</si>
  <si>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</si>
  <si>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</si>
  <si>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</si>
  <si>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</si>
  <si>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</si>
  <si>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</si>
  <si>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</si>
  <si>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</si>
  <si>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</si>
  <si>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</si>
  <si>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</si>
  <si>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</si>
  <si>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</si>
  <si>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</si>
  <si>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</si>
  <si>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</si>
  <si>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</si>
  <si>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</si>
  <si>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</si>
  <si>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</si>
  <si>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</si>
  <si>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</si>
  <si>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</si>
  <si>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</si>
  <si>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</si>
  <si>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</si>
  <si>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</si>
  <si>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</si>
  <si>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</si>
  <si>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</si>
  <si>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</si>
  <si>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</si>
  <si>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</si>
  <si>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</si>
  <si>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</si>
  <si>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</si>
  <si>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</si>
  <si>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</si>
  <si>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</si>
  <si>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</si>
  <si>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</si>
  <si>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</si>
  <si>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</si>
  <si>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</si>
  <si>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</si>
  <si>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</si>
  <si>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</si>
  <si>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</si>
  <si>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</si>
  <si>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</si>
  <si>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</si>
  <si>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</si>
  <si>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</si>
  <si>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</si>
  <si>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</si>
  <si>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</si>
  <si>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</si>
  <si>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</si>
  <si>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</si>
  <si>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</si>
  <si>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</si>
  <si>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</si>
  <si>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</si>
  <si>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</si>
  <si>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</si>
  <si>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</si>
  <si>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</si>
  <si>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</si>
  <si>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</si>
  <si>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</si>
  <si>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</si>
  <si>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</si>
  <si>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</si>
  <si>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</si>
  <si>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</si>
  <si>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</si>
  <si>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</si>
  <si>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</si>
  <si>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</si>
  <si>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</si>
  <si>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</si>
  <si>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</si>
  <si>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</si>
  <si>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</si>
  <si>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</si>
  <si>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</si>
  <si>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</si>
  <si>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</si>
  <si>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</si>
  <si>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</si>
  <si>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</si>
  <si>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</si>
  <si>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</si>
  <si>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</si>
  <si>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</si>
  <si>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</si>
  <si>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</si>
  <si>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</si>
  <si>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</si>
  <si>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</si>
  <si>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</si>
  <si>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</si>
  <si>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</si>
  <si>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</si>
  <si>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</si>
  <si>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</si>
  <si>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</si>
  <si>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</si>
  <si>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</si>
  <si>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</si>
  <si>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</si>
  <si>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</si>
  <si>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</si>
  <si>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</si>
  <si>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</si>
  <si>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</si>
  <si>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</si>
  <si>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</si>
  <si>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</si>
  <si>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</si>
  <si>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</si>
  <si>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</si>
  <si>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</si>
  <si>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</si>
  <si>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</si>
  <si>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</si>
  <si>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</si>
  <si>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</si>
  <si>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</si>
  <si>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</si>
  <si>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</si>
  <si>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</si>
  <si>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</si>
  <si>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</si>
  <si>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</si>
  <si>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</si>
  <si>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</si>
  <si>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</si>
  <si>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</si>
  <si>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</si>
  <si>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</si>
  <si>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</si>
  <si>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</si>
  <si>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</si>
  <si>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</si>
  <si>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</si>
  <si>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</si>
  <si>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</si>
  <si>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</si>
  <si>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</si>
  <si>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</si>
  <si>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</si>
  <si>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</si>
  <si>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</si>
  <si>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</si>
  <si>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</si>
  <si>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</si>
  <si>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</si>
  <si>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</si>
  <si>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</si>
  <si>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</si>
  <si>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</si>
  <si>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</si>
  <si>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</si>
  <si>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</si>
  <si>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</si>
  <si>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</si>
  <si>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</si>
  <si>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</si>
  <si>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</si>
  <si>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</si>
  <si>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</si>
  <si>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</si>
  <si>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</si>
  <si>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</si>
  <si>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</si>
  <si>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</si>
  <si>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</si>
  <si>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</si>
  <si>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</si>
  <si>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</si>
  <si>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</si>
  <si>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</si>
  <si>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</si>
  <si>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</si>
  <si>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</si>
  <si>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</si>
  <si>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</si>
  <si>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</si>
  <si>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</si>
  <si>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</si>
  <si>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</si>
  <si>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</si>
  <si>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</si>
  <si>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</si>
  <si>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</si>
  <si>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</si>
  <si>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</si>
  <si>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</si>
  <si>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</si>
  <si>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</si>
  <si>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</si>
  <si>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</si>
  <si>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</si>
  <si>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</si>
  <si>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</si>
  <si>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</si>
  <si>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</si>
  <si>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</si>
  <si>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</si>
  <si>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</si>
  <si>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</si>
  <si>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</si>
  <si>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</si>
  <si>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</si>
  <si>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</si>
  <si>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</si>
  <si>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</si>
  <si>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</si>
  <si>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</si>
  <si>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</si>
  <si>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</si>
  <si>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</si>
  <si>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</si>
  <si>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</si>
  <si>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</si>
  <si>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</si>
  <si>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</si>
  <si>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</si>
  <si>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</si>
  <si>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</si>
  <si>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</si>
  <si>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</si>
  <si>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</si>
  <si>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</si>
  <si>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</si>
  <si>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</si>
  <si>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</si>
  <si>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</si>
  <si>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</si>
  <si>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</si>
  <si>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</si>
  <si>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</si>
  <si>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</si>
  <si>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</si>
  <si>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</si>
  <si>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</si>
  <si>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</si>
  <si>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</si>
  <si>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</si>
  <si>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</si>
  <si>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</si>
  <si>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</si>
  <si>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</si>
  <si>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</si>
  <si>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</si>
  <si>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</si>
  <si>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</si>
  <si>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</si>
  <si>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</si>
  <si>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</si>
  <si>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</si>
  <si>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</si>
  <si>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</si>
  <si>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</si>
  <si>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</si>
  <si>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</si>
  <si>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</si>
  <si>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</si>
  <si>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</si>
  <si>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</si>
  <si>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</si>
  <si>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</si>
  <si>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</si>
  <si>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</si>
  <si>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</si>
  <si>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</si>
  <si>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</si>
  <si>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</si>
  <si>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</si>
  <si>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</si>
  <si>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</si>
  <si>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</si>
  <si>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</si>
  <si>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</si>
  <si>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</si>
  <si>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</si>
  <si>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</si>
  <si>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</si>
  <si>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</si>
  <si>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</si>
  <si>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</si>
  <si>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</si>
  <si>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</si>
  <si>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</si>
  <si>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</si>
  <si>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</si>
  <si>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</si>
  <si>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</si>
  <si>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</si>
  <si>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</si>
  <si>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</si>
  <si>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</si>
  <si>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</si>
  <si>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</si>
  <si>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</si>
  <si>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</si>
  <si>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</si>
  <si>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</si>
  <si>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</si>
  <si>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</si>
  <si>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</si>
  <si>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</si>
  <si>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</si>
  <si>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</si>
  <si>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</si>
  <si>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</si>
  <si>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</si>
  <si>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</si>
  <si>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</si>
  <si>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</si>
  <si>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</si>
  <si>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</si>
  <si>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</si>
  <si>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</si>
  <si>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</si>
  <si>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</si>
  <si>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</si>
  <si>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</si>
  <si>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</si>
  <si>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</si>
  <si>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</si>
  <si>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</si>
  <si>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</si>
  <si>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</si>
  <si>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</si>
  <si>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</si>
  <si>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</si>
  <si>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</si>
  <si>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</si>
  <si>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</si>
  <si>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</si>
  <si>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</si>
  <si>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</si>
  <si>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</si>
  <si>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</si>
  <si>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</si>
  <si>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</si>
  <si>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</si>
  <si>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</si>
  <si>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</si>
  <si>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</si>
  <si>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</si>
  <si>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</si>
  <si>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</si>
  <si>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</si>
  <si>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</si>
  <si>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</si>
  <si>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</si>
  <si>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</si>
  <si>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</si>
  <si>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</si>
  <si>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</si>
  <si>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</si>
  <si>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</si>
  <si>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</si>
  <si>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</si>
  <si>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</si>
  <si>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</si>
  <si>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</si>
  <si>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</si>
  <si>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</si>
  <si>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</si>
  <si>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</si>
  <si>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</si>
  <si>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</si>
  <si>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</si>
  <si>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</si>
  <si>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</si>
  <si>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</si>
  <si>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</si>
  <si>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</si>
  <si>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</si>
  <si>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</si>
  <si>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</si>
  <si>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</si>
  <si>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</si>
  <si>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</si>
  <si>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</si>
  <si>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</si>
  <si>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</si>
  <si>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</si>
  <si>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</si>
  <si>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</si>
  <si>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</si>
  <si>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</si>
  <si>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</si>
  <si>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</si>
  <si>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</si>
  <si>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</si>
  <si>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</si>
  <si>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</si>
  <si>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</si>
  <si>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</si>
  <si>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</si>
  <si>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</si>
  <si>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</si>
  <si>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</si>
  <si>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</si>
  <si>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</si>
  <si>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</si>
  <si>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</si>
  <si>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</si>
  <si>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</si>
  <si>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</si>
  <si>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</si>
  <si>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</si>
  <si>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</si>
  <si>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</si>
  <si>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</si>
  <si>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</si>
  <si>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</si>
  <si>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</si>
  <si>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</si>
  <si>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</si>
  <si>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</si>
  <si>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</si>
  <si>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</si>
  <si>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</si>
  <si>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</si>
  <si>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</si>
  <si>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</si>
  <si>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</si>
  <si>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</si>
  <si>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</si>
  <si>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</si>
  <si>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</si>
  <si>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</si>
  <si>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</si>
  <si>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</si>
  <si>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</si>
  <si>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</si>
  <si>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</si>
  <si>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</si>
  <si>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</si>
  <si>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</si>
  <si>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</si>
  <si>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</si>
  <si>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</si>
  <si>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</si>
  <si>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</si>
  <si>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</si>
  <si>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</si>
  <si>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</si>
  <si>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</si>
  <si>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</si>
  <si>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</si>
  <si>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</si>
  <si>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</si>
  <si>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</si>
  <si>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</si>
  <si>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</si>
  <si>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</si>
  <si>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</si>
  <si>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</si>
  <si>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</si>
  <si>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</si>
  <si>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</si>
  <si>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</si>
  <si>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</si>
  <si>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</si>
  <si>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</si>
  <si>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</si>
  <si>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</si>
  <si>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</si>
  <si>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</si>
  <si>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</si>
  <si>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</si>
  <si>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</si>
  <si>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</si>
  <si>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</si>
  <si>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</si>
  <si>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</si>
  <si>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</si>
  <si>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</si>
  <si>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</si>
  <si>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</si>
  <si>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</si>
  <si>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</si>
  <si>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</si>
  <si>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</si>
  <si>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</si>
  <si>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</si>
  <si>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</si>
  <si>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</si>
  <si>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</si>
  <si>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</si>
  <si>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</si>
  <si>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</si>
  <si>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</si>
  <si>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</si>
  <si>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</si>
  <si>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</si>
  <si>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</si>
  <si>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</si>
  <si>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</si>
  <si>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</si>
  <si>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</si>
  <si>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</si>
  <si>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</si>
  <si>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</si>
  <si>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</si>
  <si>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</si>
  <si>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</si>
  <si>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</si>
  <si>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</si>
  <si>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</si>
  <si>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</si>
  <si>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</si>
  <si>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</si>
  <si>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</si>
  <si>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</si>
  <si>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</si>
  <si>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</si>
  <si>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</si>
  <si>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</si>
  <si>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</si>
  <si>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</si>
  <si>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</si>
  <si>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</si>
  <si>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</si>
  <si>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</si>
  <si>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</si>
  <si>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</si>
  <si>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</si>
  <si>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</si>
  <si>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</si>
  <si>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</si>
  <si>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</si>
  <si>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</si>
  <si>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</si>
  <si>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</si>
  <si>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</si>
  <si>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</si>
  <si>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</si>
  <si>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</si>
  <si>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</si>
  <si>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</si>
  <si>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</si>
  <si>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</si>
  <si>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</si>
  <si>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</si>
  <si>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</si>
  <si>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</si>
  <si>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</si>
  <si>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</si>
  <si>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</si>
  <si>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</si>
  <si>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</si>
  <si>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</si>
  <si>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</si>
  <si>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</si>
  <si>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</si>
  <si>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</si>
  <si>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</si>
  <si>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</si>
  <si>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</si>
  <si>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</si>
  <si>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</si>
  <si>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</si>
  <si>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</si>
  <si>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</si>
  <si>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</si>
  <si>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</si>
  <si>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</si>
  <si>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</si>
  <si>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</si>
  <si>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</si>
  <si>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</si>
  <si>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</si>
  <si>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</si>
  <si>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</si>
  <si>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</si>
  <si>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</si>
  <si>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</si>
  <si>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</si>
  <si>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</si>
  <si>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</si>
  <si>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</si>
  <si>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</si>
  <si>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</si>
  <si>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</si>
  <si>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</si>
  <si>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</si>
  <si>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</si>
  <si>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</si>
  <si>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</si>
  <si>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</si>
  <si>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</si>
  <si>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</si>
  <si>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</si>
  <si>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</si>
  <si>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</si>
  <si>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</si>
  <si>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</si>
  <si>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</si>
  <si>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</si>
  <si>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</si>
  <si>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</si>
  <si>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</si>
  <si>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</si>
  <si>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</si>
  <si>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</si>
  <si>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</si>
  <si>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</si>
  <si>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</si>
  <si>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</si>
  <si>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</si>
  <si>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</si>
  <si>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</si>
  <si>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</si>
  <si>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</si>
  <si>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</si>
  <si>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</si>
  <si>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</si>
  <si>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</si>
  <si>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</si>
  <si>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</si>
  <si>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</si>
  <si>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</si>
  <si>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</si>
  <si>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</si>
  <si>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</si>
  <si>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</si>
  <si>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</si>
  <si>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</si>
  <si>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</si>
  <si>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</si>
  <si>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</si>
  <si>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</si>
  <si>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</si>
  <si>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</si>
  <si>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</si>
  <si>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</si>
  <si>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</si>
  <si>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</si>
  <si>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</si>
  <si>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</si>
  <si>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</si>
  <si>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</si>
  <si>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</si>
  <si>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</si>
  <si>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</si>
  <si>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</si>
  <si>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</si>
  <si>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</si>
  <si>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</si>
  <si>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</si>
  <si>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</si>
  <si>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</si>
  <si>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</si>
  <si>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</si>
  <si>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</si>
  <si>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</si>
  <si>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</si>
  <si>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</si>
  <si>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</si>
  <si>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</si>
  <si>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</si>
  <si>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</si>
  <si>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</si>
  <si>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</si>
  <si>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</si>
  <si>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</si>
  <si>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</si>
  <si>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</si>
  <si>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</si>
  <si>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</si>
  <si>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</si>
  <si>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</si>
  <si>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</si>
  <si>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</si>
  <si>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</si>
  <si>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</si>
  <si>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</si>
  <si>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</si>
  <si>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</si>
  <si>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</si>
  <si>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</si>
  <si>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</si>
  <si>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</si>
  <si>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</si>
  <si>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</si>
  <si>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</si>
  <si>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</si>
  <si>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</si>
  <si>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</si>
  <si>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</si>
  <si>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</si>
  <si>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</si>
  <si>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</si>
  <si>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</si>
  <si>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</si>
  <si>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</si>
  <si>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</si>
  <si>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</si>
  <si>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</si>
  <si>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</si>
  <si>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</si>
  <si>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</si>
  <si>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</si>
  <si>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</si>
  <si>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</si>
  <si>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</si>
  <si>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</si>
  <si>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</si>
  <si>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</si>
  <si>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</si>
  <si>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</si>
  <si>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</si>
  <si>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</si>
  <si>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</si>
  <si>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</si>
  <si>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</si>
  <si>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</si>
  <si>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</si>
  <si>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</si>
  <si>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</si>
  <si>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</si>
  <si>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</si>
  <si>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</si>
  <si>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</si>
  <si>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</si>
  <si>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</si>
  <si>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</si>
  <si>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</si>
  <si>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</si>
  <si>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</si>
  <si>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</si>
  <si>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</si>
  <si>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</si>
  <si>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</si>
  <si>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</si>
  <si>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</si>
  <si>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</si>
  <si>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</si>
  <si>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</si>
  <si>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</si>
  <si>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</si>
  <si>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</si>
  <si>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</si>
  <si>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</si>
  <si>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</si>
  <si>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</si>
  <si>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</si>
  <si>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</si>
  <si>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</si>
  <si>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</si>
  <si>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</si>
  <si>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</si>
  <si>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</si>
  <si>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</si>
  <si>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</si>
  <si>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</si>
  <si>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</si>
  <si>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</si>
  <si>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</si>
  <si>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</si>
  <si>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</si>
  <si>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</si>
  <si>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</si>
  <si>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</si>
  <si>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</si>
  <si>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</si>
  <si>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</si>
  <si>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</si>
  <si>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</si>
  <si>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</si>
  <si>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</si>
  <si>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</si>
  <si>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</si>
  <si>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</si>
  <si>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</si>
  <si>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</si>
  <si>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</si>
  <si>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</si>
  <si>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</si>
  <si>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</si>
  <si>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</si>
  <si>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</si>
  <si>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</si>
  <si>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</si>
  <si>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</si>
  <si>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</si>
  <si>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</si>
  <si>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</si>
  <si>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</si>
  <si>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</si>
  <si>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</si>
  <si>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</si>
  <si>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</si>
  <si>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</si>
  <si>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</si>
  <si>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</si>
  <si>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</si>
  <si>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</si>
  <si>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</si>
  <si>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</si>
  <si>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</si>
  <si>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</si>
  <si>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</si>
  <si>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</si>
  <si>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</si>
  <si>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</si>
  <si>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</si>
  <si>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</si>
  <si>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</si>
  <si>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</si>
  <si>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</si>
  <si>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</si>
  <si>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</si>
  <si>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</si>
  <si>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</si>
  <si>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</si>
  <si>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</si>
  <si>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</si>
  <si>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</si>
  <si>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</si>
  <si>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</si>
  <si>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</si>
  <si>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</si>
  <si>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</si>
  <si>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</si>
  <si>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</si>
  <si>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</si>
  <si>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</si>
  <si>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</si>
  <si>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</si>
  <si>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</si>
  <si>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</si>
  <si>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</si>
  <si>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</si>
  <si>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</si>
  <si>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</si>
  <si>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</si>
  <si>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</si>
  <si>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</si>
  <si>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</si>
  <si>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</si>
  <si>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</si>
  <si>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</si>
  <si>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</si>
  <si>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</si>
  <si>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</si>
  <si>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</si>
  <si>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</si>
  <si>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</si>
  <si>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</si>
  <si>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</si>
  <si>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</si>
  <si>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</si>
  <si>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</si>
  <si>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</si>
  <si>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</si>
  <si>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</si>
  <si>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</si>
  <si>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</si>
  <si>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</si>
  <si>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</si>
  <si>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</si>
  <si>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</si>
  <si>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</si>
  <si>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</si>
  <si>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</si>
  <si>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</si>
  <si>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</si>
  <si>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</si>
  <si>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</si>
  <si>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</si>
  <si>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</si>
  <si>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</si>
  <si>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</si>
  <si>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</si>
  <si>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</si>
  <si>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</si>
  <si>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</si>
  <si>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</si>
  <si>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</si>
  <si>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</si>
  <si>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</si>
  <si>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</si>
  <si>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</si>
  <si>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</si>
  <si>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</si>
  <si>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</si>
  <si>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</si>
  <si>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</si>
  <si>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</si>
  <si>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</si>
  <si>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</si>
  <si>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</si>
  <si>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</si>
  <si>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</si>
  <si>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</si>
  <si>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</si>
  <si>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</si>
  <si>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</si>
  <si>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</si>
  <si>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</si>
  <si>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</si>
  <si>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</si>
  <si>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</si>
  <si>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</si>
  <si>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</si>
  <si>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</si>
  <si>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</si>
  <si>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</si>
  <si>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</si>
  <si>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</si>
  <si>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</si>
  <si>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</si>
  <si>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</si>
  <si>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</si>
  <si>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</si>
  <si>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</si>
  <si>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</si>
  <si>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</si>
  <si>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</si>
  <si>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</si>
  <si>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</si>
  <si>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</si>
  <si>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</si>
  <si>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</si>
  <si>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</si>
  <si>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</si>
  <si>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</si>
  <si>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</si>
  <si>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</si>
  <si>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</si>
  <si>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</si>
  <si>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</si>
  <si>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</si>
  <si>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</si>
  <si>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</si>
  <si>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</si>
  <si>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</si>
  <si>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</si>
  <si>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</si>
  <si>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</si>
  <si>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</si>
  <si>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</si>
  <si>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</si>
  <si>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</si>
  <si>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</si>
  <si>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</si>
  <si>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</si>
  <si>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</si>
  <si>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</si>
  <si>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</si>
  <si>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</si>
  <si>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</si>
  <si>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</si>
  <si>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</si>
  <si>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</si>
  <si>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</si>
  <si>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</si>
  <si>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</si>
  <si>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</si>
  <si>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</si>
  <si>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</si>
  <si>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</si>
  <si>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</si>
  <si>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</si>
  <si>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</si>
  <si>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</si>
  <si>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</si>
  <si>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</si>
  <si>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</si>
  <si>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</si>
  <si>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</si>
  <si>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</si>
  <si>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</si>
  <si>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</si>
  <si>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</si>
  <si>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</si>
  <si>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</si>
  <si>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</si>
  <si>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</si>
  <si>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</si>
  <si>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</si>
  <si>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</si>
  <si>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</si>
  <si>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</si>
  <si>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</si>
  <si>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</si>
  <si>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</si>
  <si>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</si>
  <si>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</si>
  <si>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</si>
  <si>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</si>
  <si>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</si>
  <si>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</si>
  <si>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</si>
  <si>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</si>
  <si>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</si>
  <si>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</si>
  <si>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</si>
  <si>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</si>
  <si>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</si>
  <si>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</si>
  <si>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</si>
  <si>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</si>
  <si>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</si>
  <si>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</si>
  <si>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</si>
  <si>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</si>
  <si>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</si>
  <si>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</si>
  <si>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</si>
  <si>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</si>
  <si>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</si>
  <si>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</si>
  <si>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</si>
  <si>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</si>
  <si>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</si>
  <si>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</si>
  <si>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</si>
  <si>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</si>
  <si>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</si>
  <si>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</si>
  <si>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</si>
  <si>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</si>
  <si>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</si>
  <si>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</si>
  <si>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</si>
  <si>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</si>
  <si>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</si>
  <si>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</si>
  <si>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</si>
  <si>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</si>
  <si>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</si>
  <si>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</si>
  <si>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</si>
  <si>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</si>
  <si>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</si>
  <si>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</si>
  <si>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</si>
  <si>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</si>
  <si>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</si>
  <si>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</si>
  <si>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</si>
  <si>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</si>
  <si>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</si>
  <si>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</si>
  <si>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</si>
  <si>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</si>
  <si>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</si>
  <si>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</si>
  <si>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</si>
  <si>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</si>
  <si>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</si>
  <si>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</si>
  <si>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</si>
  <si>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</si>
  <si>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</si>
  <si>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</si>
  <si>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</si>
  <si>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</si>
  <si>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</si>
  <si>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</si>
  <si>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</si>
  <si>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</si>
  <si>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</si>
  <si>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</si>
  <si>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</si>
  <si>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</si>
  <si>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</si>
  <si>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</si>
  <si>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</si>
  <si>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</si>
  <si>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</si>
  <si>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</si>
  <si>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</si>
  <si>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</si>
  <si>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</si>
  <si>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</si>
  <si>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</si>
  <si>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</si>
  <si>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</si>
  <si>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</si>
  <si>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</si>
  <si>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</si>
  <si>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</si>
  <si>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</si>
  <si>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</si>
  <si>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</si>
  <si>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</si>
  <si>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</si>
  <si>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</si>
  <si>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</si>
  <si>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</si>
  <si>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</si>
  <si>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</si>
  <si>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</si>
  <si>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</si>
  <si>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</si>
  <si>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</si>
  <si>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</si>
  <si>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</si>
  <si>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</si>
  <si>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</si>
  <si>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</si>
  <si>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</si>
  <si>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</si>
  <si>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</si>
  <si>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</si>
  <si>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</si>
  <si>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</si>
  <si>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</si>
  <si>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</si>
  <si>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</si>
  <si>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</si>
  <si>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</si>
  <si>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</si>
  <si>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</si>
  <si>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</si>
  <si>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</si>
  <si>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</si>
  <si>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</si>
  <si>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</si>
  <si>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</si>
  <si>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</si>
  <si>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</si>
  <si>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</si>
  <si>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</si>
  <si>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</si>
  <si>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</si>
  <si>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</si>
  <si>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</si>
  <si>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</si>
  <si>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</si>
  <si>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</si>
  <si>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</si>
  <si>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</si>
  <si>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</si>
  <si>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</si>
  <si>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</si>
  <si>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</si>
  <si>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</si>
  <si>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</si>
  <si>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</si>
  <si>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</si>
  <si>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</si>
  <si>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</si>
  <si>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</si>
  <si>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</si>
  <si>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</si>
  <si>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</si>
  <si>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</si>
  <si>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</si>
  <si>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</si>
  <si>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</si>
  <si>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</si>
  <si>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</si>
  <si>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</si>
  <si>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</si>
  <si>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</si>
  <si>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</si>
  <si>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</si>
  <si>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</si>
  <si>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</si>
  <si>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</si>
  <si>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</si>
  <si>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</si>
  <si>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</si>
  <si>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</si>
  <si>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</si>
  <si>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</si>
  <si>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</si>
  <si>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</si>
  <si>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</si>
  <si>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</si>
  <si>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</si>
  <si>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</si>
  <si>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</si>
  <si>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</si>
  <si>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</si>
  <si>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</si>
  <si>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</si>
  <si>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</si>
  <si>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</si>
  <si>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</si>
  <si>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</si>
  <si>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</si>
  <si>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</si>
  <si>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</si>
  <si>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</si>
  <si>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</si>
  <si>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</si>
  <si>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</si>
  <si>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</si>
  <si>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</si>
  <si>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</si>
  <si>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</si>
  <si>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</si>
  <si>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</si>
  <si>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</si>
  <si>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</si>
  <si>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</si>
  <si>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</si>
  <si>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</si>
  <si>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</si>
  <si>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</si>
  <si>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</si>
  <si>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</si>
  <si>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</si>
  <si>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</si>
  <si>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</si>
  <si>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</si>
  <si>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</si>
  <si>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</si>
  <si>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</si>
  <si>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</si>
  <si>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</si>
  <si>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</si>
  <si>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</si>
  <si>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</si>
  <si>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</si>
  <si>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</si>
  <si>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</si>
  <si>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</si>
  <si>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</si>
  <si>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</si>
  <si>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</si>
  <si>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</si>
  <si>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</si>
  <si>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</si>
  <si>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</si>
  <si>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</si>
  <si>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</si>
  <si>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</si>
  <si>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</si>
  <si>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</si>
  <si>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</si>
  <si>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</si>
  <si>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</si>
  <si>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</si>
  <si>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</si>
  <si>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</si>
  <si>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</si>
  <si>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</si>
  <si>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</si>
  <si>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</si>
  <si>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</si>
  <si>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</si>
  <si>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</si>
  <si>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</si>
  <si>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</si>
  <si>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</si>
  <si>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</si>
  <si>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</si>
  <si>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</si>
  <si>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</si>
  <si>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</si>
  <si>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</si>
  <si>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</si>
  <si>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</si>
  <si>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</si>
  <si>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</si>
  <si>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</si>
  <si>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</si>
  <si>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</si>
  <si>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</si>
  <si>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</si>
  <si>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</si>
  <si>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</si>
  <si>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</si>
  <si>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</si>
  <si>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</si>
  <si>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</si>
  <si>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</si>
  <si>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</si>
  <si>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</si>
  <si>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</si>
  <si>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</si>
  <si>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</si>
  <si>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</si>
  <si>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</si>
  <si>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</si>
  <si>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</si>
  <si>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</si>
  <si>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</si>
  <si>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</si>
  <si>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</si>
  <si>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</si>
  <si>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</si>
  <si>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</si>
  <si>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</si>
  <si>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</si>
  <si>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</si>
  <si>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</si>
  <si>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</si>
  <si>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</si>
  <si>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</si>
  <si>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</si>
  <si>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</si>
  <si>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</si>
  <si>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</si>
  <si>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</si>
  <si>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</si>
  <si>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</si>
  <si>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</si>
  <si>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</si>
  <si>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</si>
  <si>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</si>
  <si>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</si>
  <si>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</si>
  <si>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</si>
  <si>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</si>
  <si>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</si>
  <si>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</si>
  <si>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</si>
  <si>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</si>
  <si>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</si>
  <si>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</si>
  <si>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</si>
  <si>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</si>
  <si>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</si>
  <si>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</si>
  <si>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</si>
  <si>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</si>
  <si>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</si>
  <si>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</si>
  <si>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</si>
  <si>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</si>
  <si>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</si>
  <si>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</si>
  <si>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</si>
  <si>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</si>
  <si>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</si>
  <si>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</si>
  <si>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</si>
  <si>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</si>
  <si>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</si>
  <si>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</si>
  <si>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</si>
  <si>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</si>
  <si>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</si>
  <si>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</si>
  <si>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</si>
  <si>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</si>
  <si>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</si>
  <si>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</si>
  <si>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</si>
  <si>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</si>
  <si>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</si>
  <si>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</si>
  <si>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</si>
  <si>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</si>
  <si>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</si>
  <si>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</si>
  <si>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</si>
  <si>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</si>
  <si>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</si>
  <si>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</si>
  <si>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</si>
  <si>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</si>
  <si>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</si>
  <si>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</si>
  <si>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</si>
  <si>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</si>
  <si>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</si>
  <si>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</si>
  <si>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</si>
  <si>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</si>
  <si>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</si>
  <si>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</si>
  <si>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</si>
  <si>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</si>
  <si>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</si>
  <si>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</si>
  <si>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</si>
  <si>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</si>
  <si>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</si>
  <si>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</si>
  <si>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</si>
  <si>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</si>
  <si>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</si>
  <si>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</si>
  <si>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</si>
  <si>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</si>
  <si>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</si>
  <si>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</si>
  <si>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</si>
  <si>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</si>
  <si>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</si>
  <si>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</si>
  <si>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</si>
  <si>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</si>
  <si>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</si>
  <si>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</si>
  <si>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</si>
  <si>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</si>
  <si>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</si>
  <si>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</si>
  <si>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</si>
  <si>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</si>
  <si>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</si>
  <si>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</si>
  <si>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</si>
  <si>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</si>
  <si>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</si>
  <si>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</si>
  <si>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</si>
  <si>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</si>
  <si>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</si>
  <si>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</si>
  <si>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</si>
  <si>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</si>
  <si>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</si>
  <si>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</si>
  <si>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</si>
  <si>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</si>
  <si>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</si>
  <si>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</si>
  <si>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</si>
  <si>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</si>
  <si>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</si>
  <si>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</si>
  <si>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</si>
  <si>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</si>
  <si>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</si>
  <si>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</si>
  <si>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</si>
  <si>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</si>
  <si>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</si>
  <si>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</si>
  <si>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</si>
  <si>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</si>
  <si>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</si>
  <si>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</si>
  <si>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</si>
  <si>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</si>
  <si>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</si>
  <si>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</si>
  <si>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</si>
  <si>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</si>
  <si>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</si>
  <si>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</si>
  <si>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</si>
  <si>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</si>
  <si>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</si>
  <si>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</si>
  <si>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</si>
  <si>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</si>
  <si>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</si>
  <si>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</si>
  <si>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</si>
  <si>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</si>
  <si>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</si>
  <si>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</si>
  <si>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</si>
  <si>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</si>
  <si>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</si>
  <si>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</si>
  <si>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</si>
  <si>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</si>
  <si>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</si>
  <si>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</si>
  <si>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</si>
  <si>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</si>
  <si>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</si>
  <si>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</si>
  <si>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</si>
  <si>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</si>
  <si>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</si>
  <si>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</si>
  <si>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</si>
  <si>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</si>
  <si>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</si>
  <si>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</si>
  <si>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</si>
  <si>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</si>
  <si>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</si>
  <si>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</si>
  <si>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</si>
  <si>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</si>
  <si>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</si>
  <si>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</si>
  <si>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</si>
  <si>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</si>
  <si>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</si>
  <si>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</si>
  <si>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</si>
  <si>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</si>
  <si>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</si>
  <si>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</si>
  <si>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</si>
  <si>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</si>
  <si>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</si>
  <si>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</si>
  <si>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</si>
  <si>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</si>
  <si>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</si>
  <si>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</si>
  <si>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</si>
  <si>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</si>
  <si>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</si>
  <si>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</si>
  <si>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</si>
  <si>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</si>
  <si>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</si>
  <si>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</si>
  <si>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</si>
  <si>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</si>
  <si>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</si>
  <si>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</si>
  <si>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</si>
  <si>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</si>
  <si>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</si>
  <si>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</si>
  <si>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</si>
  <si>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</si>
  <si>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</si>
  <si>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</si>
  <si>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</si>
  <si>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</si>
  <si>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</si>
  <si>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</si>
  <si>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</si>
  <si>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</si>
  <si>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</si>
  <si>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</si>
  <si>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</si>
  <si>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</si>
  <si>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</si>
  <si>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</si>
  <si>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</si>
  <si>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</si>
  <si>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</si>
  <si>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</si>
  <si>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</si>
  <si>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</si>
  <si>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</si>
  <si>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</si>
  <si>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</si>
  <si>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</si>
  <si>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</si>
  <si>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</si>
  <si>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</si>
  <si>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</si>
  <si>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</si>
  <si>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</si>
  <si>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</si>
  <si>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</si>
  <si>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</si>
  <si>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</si>
  <si>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</si>
  <si>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</si>
  <si>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</si>
  <si>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</si>
  <si>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</si>
  <si>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</si>
  <si>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</si>
  <si>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</si>
  <si>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</si>
  <si>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</si>
  <si>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</si>
  <si>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</si>
  <si>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</si>
  <si>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</si>
  <si>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</si>
  <si>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</si>
  <si>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</si>
  <si>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</si>
  <si>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</si>
  <si>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</si>
  <si>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</si>
  <si>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</si>
  <si>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</si>
  <si>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</si>
  <si>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</si>
  <si>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</si>
  <si>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</si>
  <si>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</si>
  <si>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</si>
  <si>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</si>
  <si>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</si>
  <si>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</si>
  <si>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</si>
  <si>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</si>
  <si>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</si>
  <si>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</si>
  <si>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</si>
  <si>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</si>
  <si>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</si>
  <si>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</si>
  <si>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</si>
  <si>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</si>
  <si>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</si>
  <si>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</si>
  <si>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</si>
  <si>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</si>
  <si>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</si>
  <si>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</si>
  <si>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</si>
  <si>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</si>
  <si>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</si>
  <si>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</si>
  <si>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</si>
  <si>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</si>
  <si>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</si>
  <si>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</si>
  <si>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</si>
  <si>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</si>
  <si>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</si>
  <si>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</si>
  <si>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</si>
  <si>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</si>
  <si>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</si>
  <si>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</si>
  <si>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</si>
  <si>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</si>
  <si>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</si>
  <si>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</si>
  <si>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</si>
  <si>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</si>
  <si>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</si>
  <si>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</si>
  <si>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</si>
  <si>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</si>
  <si>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</si>
  <si>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</si>
  <si>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</si>
  <si>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</si>
  <si>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</si>
  <si>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</si>
  <si>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</si>
  <si>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</si>
  <si>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</si>
  <si>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</si>
  <si>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</si>
  <si>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</si>
  <si>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</si>
  <si>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</si>
  <si>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</si>
  <si>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</si>
  <si>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</si>
  <si>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</si>
  <si>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</si>
  <si>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</si>
  <si>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</si>
  <si>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</si>
  <si>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</si>
  <si>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</si>
  <si>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</si>
  <si>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</si>
  <si>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</si>
  <si>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</si>
  <si>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</si>
  <si>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</si>
  <si>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</si>
  <si>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</si>
  <si>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</si>
  <si>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</si>
  <si>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</si>
  <si>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</si>
  <si>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</si>
  <si>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</si>
  <si>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</si>
  <si>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</si>
  <si>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</si>
  <si>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</si>
  <si>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</si>
  <si>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</si>
  <si>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</si>
  <si>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</si>
  <si>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</si>
  <si>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</si>
  <si>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</si>
  <si>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</si>
  <si>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</si>
  <si>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</si>
  <si>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</si>
  <si>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</si>
  <si>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</si>
  <si>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</si>
  <si>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</si>
  <si>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</si>
  <si>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</si>
  <si>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</si>
  <si>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</si>
  <si>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</si>
  <si>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</si>
  <si>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</si>
  <si>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</si>
  <si>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</si>
  <si>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</si>
  <si>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</si>
  <si>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</si>
  <si>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</si>
  <si>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</si>
  <si>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</si>
  <si>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</si>
  <si>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</si>
  <si>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</si>
  <si>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</si>
  <si>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</si>
  <si>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</si>
  <si>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</si>
  <si>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</si>
  <si>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</si>
  <si>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</si>
  <si>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</si>
  <si>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</si>
  <si>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</si>
  <si>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</si>
  <si>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</si>
  <si>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</si>
  <si>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</si>
  <si>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</si>
  <si>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</si>
  <si>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</si>
  <si>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</si>
  <si>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</si>
  <si>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</si>
  <si>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</si>
  <si>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</si>
  <si>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</si>
  <si>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</si>
  <si>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</si>
  <si>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</si>
  <si>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</si>
  <si>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</si>
  <si>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</si>
  <si>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</si>
  <si>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</si>
  <si>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</si>
  <si>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</si>
  <si>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</si>
  <si>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</si>
  <si>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</si>
  <si>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</si>
  <si>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</si>
  <si>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</si>
  <si>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</si>
  <si>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</si>
  <si>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</si>
  <si>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</si>
  <si>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</si>
  <si>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</si>
  <si>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</si>
  <si>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</si>
  <si>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</si>
  <si>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</si>
  <si>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</si>
  <si>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</si>
  <si>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</si>
  <si>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</si>
  <si>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</si>
  <si>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</si>
  <si>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</si>
  <si>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</si>
  <si>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</si>
  <si>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</si>
  <si>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</si>
  <si>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</si>
  <si>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</si>
  <si>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</si>
  <si>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</si>
  <si>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</si>
  <si>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</si>
  <si>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</si>
  <si>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</si>
  <si>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</si>
  <si>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</si>
  <si>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</si>
  <si>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</si>
  <si>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</si>
  <si>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</si>
  <si>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</si>
  <si>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</si>
  <si>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</si>
  <si>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</si>
  <si>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</si>
  <si>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</si>
  <si>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</si>
  <si>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</si>
  <si>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</si>
  <si>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</si>
  <si>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</si>
  <si>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</si>
  <si>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</si>
  <si>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</si>
  <si>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</si>
  <si>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</si>
  <si>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</si>
  <si>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</si>
  <si>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</si>
  <si>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</si>
  <si>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</si>
  <si>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</si>
  <si>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</si>
  <si>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</si>
  <si>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</si>
  <si>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</si>
  <si>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</si>
  <si>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</si>
  <si>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</si>
  <si>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</si>
  <si>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</si>
  <si>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</si>
  <si>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</si>
  <si>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</si>
  <si>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</si>
  <si>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</si>
  <si>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</si>
  <si>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</si>
  <si>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</si>
  <si>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</si>
  <si>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</si>
  <si>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</si>
  <si>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</si>
  <si>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</si>
  <si>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</si>
  <si>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</si>
  <si>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</si>
  <si>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</si>
  <si>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</si>
  <si>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</si>
  <si>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</si>
  <si>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</si>
  <si>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</si>
  <si>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</si>
  <si>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</si>
  <si>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</si>
  <si>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</si>
  <si>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</si>
  <si>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</si>
  <si>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</si>
  <si>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</si>
  <si>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</si>
  <si>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</si>
  <si>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</si>
  <si>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</si>
  <si>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</si>
  <si>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</si>
  <si>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</si>
  <si>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</si>
  <si>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</si>
  <si>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</si>
  <si>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</si>
  <si>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</si>
  <si>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</si>
  <si>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</si>
  <si>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</si>
  <si>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</si>
  <si>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</si>
  <si>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</si>
  <si>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</si>
  <si>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</si>
  <si>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</si>
  <si>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</si>
  <si>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</si>
  <si>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</si>
  <si>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</si>
  <si>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</si>
  <si>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</si>
  <si>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</si>
  <si>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</si>
  <si>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</si>
  <si>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</si>
  <si>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</si>
  <si>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</si>
  <si>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</si>
  <si>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</si>
  <si>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</si>
  <si>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</si>
  <si>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</si>
  <si>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</si>
  <si>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</si>
  <si>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</si>
  <si>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</si>
  <si>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</si>
  <si>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</si>
  <si>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</si>
  <si>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</si>
  <si>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</si>
  <si>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</si>
  <si>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</si>
  <si>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</si>
  <si>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</si>
  <si>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</si>
  <si>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</si>
  <si>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</si>
  <si>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</si>
  <si>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</si>
  <si>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</si>
  <si>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</si>
  <si>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</si>
  <si>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</si>
  <si>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</si>
  <si>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</si>
  <si>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</si>
  <si>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</si>
  <si>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</si>
  <si>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</si>
  <si>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</si>
  <si>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</si>
  <si>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</si>
  <si>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</si>
  <si>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</si>
  <si>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</si>
  <si>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</si>
  <si>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</si>
  <si>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</si>
  <si>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</si>
  <si>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</si>
  <si>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</si>
  <si>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</si>
  <si>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</si>
  <si>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</si>
  <si>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</si>
  <si>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</si>
  <si>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</si>
  <si>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</si>
  <si>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</si>
  <si>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</si>
  <si>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</si>
  <si>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</si>
  <si>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</si>
  <si>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</si>
  <si>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</si>
  <si>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</si>
  <si>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</si>
  <si>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</si>
  <si>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</si>
  <si>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</si>
  <si>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</si>
  <si>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</si>
  <si>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</si>
  <si>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</si>
  <si>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</si>
  <si>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</si>
  <si>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</si>
  <si>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</si>
  <si>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</si>
  <si>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</si>
  <si>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</si>
  <si>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</si>
  <si>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</si>
  <si>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</si>
  <si>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</si>
  <si>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</si>
  <si>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</si>
  <si>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</si>
  <si>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</si>
  <si>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</si>
  <si>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</si>
  <si>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</si>
  <si>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</si>
  <si>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</si>
  <si>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</si>
  <si>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</si>
  <si>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</si>
  <si>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</si>
  <si>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</si>
  <si>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</si>
  <si>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</si>
  <si>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</si>
  <si>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</si>
  <si>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</si>
  <si>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</si>
  <si>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</si>
  <si>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</si>
  <si>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</si>
  <si>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</si>
  <si>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</si>
  <si>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</si>
  <si>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</si>
  <si>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</si>
  <si>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</si>
  <si>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</si>
  <si>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</si>
  <si>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</si>
  <si>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</si>
  <si>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</si>
  <si>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</si>
  <si>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</si>
  <si>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</si>
  <si>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</si>
  <si>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</si>
  <si>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</si>
  <si>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</si>
  <si>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</si>
  <si>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</si>
  <si>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</si>
  <si>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</si>
  <si>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</si>
  <si>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</si>
  <si>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</si>
  <si>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</si>
  <si>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</si>
  <si>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</si>
  <si>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</si>
  <si>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</si>
  <si>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</si>
  <si>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</si>
  <si>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</si>
  <si>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</si>
  <si>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</si>
  <si>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</si>
  <si>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</si>
  <si>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</si>
  <si>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</si>
  <si>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</si>
  <si>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</si>
  <si>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</si>
  <si>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</si>
  <si>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</si>
  <si>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</si>
  <si>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</si>
  <si>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</si>
  <si>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</si>
  <si>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</si>
  <si>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</si>
  <si>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</si>
  <si>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</si>
  <si>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</si>
  <si>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</si>
  <si>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</si>
  <si>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</si>
  <si>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</si>
  <si>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</si>
  <si>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</si>
  <si>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</si>
  <si>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</si>
  <si>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</si>
  <si>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</si>
  <si>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</si>
  <si>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</si>
  <si>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</si>
  <si>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</si>
  <si>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</si>
  <si>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</si>
  <si>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</si>
  <si>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</si>
  <si>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</si>
  <si>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</si>
  <si>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</si>
  <si>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</si>
  <si>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</si>
  <si>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</si>
  <si>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</si>
  <si>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</si>
  <si>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</si>
  <si>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</si>
  <si>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</si>
  <si>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</si>
  <si>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</si>
  <si>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</si>
  <si>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</si>
  <si>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</si>
  <si>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</si>
  <si>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</si>
  <si>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</si>
  <si>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</si>
  <si>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</si>
  <si>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</si>
  <si>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</si>
  <si>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</si>
  <si>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</si>
  <si>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</si>
  <si>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</si>
  <si>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</si>
  <si>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</si>
  <si>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</si>
  <si>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</si>
  <si>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</si>
  <si>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</si>
  <si>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</si>
  <si>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</si>
  <si>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</si>
  <si>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</si>
  <si>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</si>
  <si>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</si>
  <si>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</si>
  <si>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</si>
  <si>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</si>
  <si>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</si>
  <si>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</si>
  <si>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</si>
  <si>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</si>
  <si>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</si>
  <si>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</si>
  <si>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</si>
  <si>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</si>
  <si>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</si>
  <si>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</si>
  <si>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</si>
  <si>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</si>
  <si>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</si>
  <si>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</si>
  <si>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</si>
  <si>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</si>
  <si>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</si>
  <si>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</si>
  <si>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</si>
  <si>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</si>
  <si>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</si>
  <si>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</si>
  <si>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</si>
  <si>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</si>
  <si>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</si>
  <si>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</si>
  <si>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</si>
  <si>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</si>
  <si>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</si>
  <si>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</si>
  <si>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</si>
  <si>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</si>
  <si>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</si>
  <si>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</si>
  <si>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</si>
  <si>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</si>
  <si>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</si>
  <si>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</si>
  <si>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</si>
  <si>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</si>
  <si>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</si>
  <si>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</si>
  <si>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</si>
  <si>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</si>
  <si>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</si>
  <si>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</si>
  <si>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</si>
  <si>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</si>
  <si>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</si>
  <si>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</si>
  <si>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</si>
  <si>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</si>
  <si>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</si>
  <si>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</si>
  <si>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</si>
  <si>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</si>
  <si>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</si>
  <si>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</si>
  <si>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</si>
  <si>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</si>
  <si>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</si>
  <si>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</si>
  <si>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</si>
  <si>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</si>
  <si>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</si>
  <si>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</si>
  <si>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</si>
  <si>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</si>
  <si>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</si>
  <si>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</si>
  <si>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</si>
  <si>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</si>
  <si>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</si>
  <si>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</si>
  <si>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</si>
  <si>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</si>
  <si>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</si>
  <si>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</si>
  <si>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</si>
  <si>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</si>
  <si>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</si>
  <si>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</si>
  <si>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</si>
  <si>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</si>
  <si>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</si>
  <si>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</si>
  <si>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</si>
  <si>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</si>
  <si>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</si>
  <si>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</si>
  <si>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</si>
  <si>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</si>
  <si>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</si>
  <si>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</si>
  <si>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</si>
  <si>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</si>
  <si>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</si>
  <si>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</si>
  <si>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</si>
  <si>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</si>
  <si>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</si>
  <si>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</si>
  <si>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</si>
  <si>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</si>
  <si>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</si>
  <si>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</si>
  <si>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</si>
  <si>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</si>
  <si>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</si>
  <si>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</si>
  <si>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</si>
  <si>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</si>
  <si>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</si>
  <si>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</si>
  <si>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</si>
  <si>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</si>
  <si>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</si>
  <si>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</si>
  <si>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</si>
  <si>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</si>
  <si>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</si>
  <si>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</si>
  <si>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</si>
  <si>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</si>
  <si>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</si>
  <si>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</si>
  <si>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</si>
  <si>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</si>
  <si>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</si>
  <si>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</si>
  <si>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</si>
  <si>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</si>
  <si>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</si>
  <si>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</si>
  <si>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</si>
  <si>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</si>
  <si>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</si>
  <si>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</si>
  <si>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</si>
  <si>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</si>
  <si>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</si>
  <si>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</si>
  <si>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</si>
  <si>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</si>
  <si>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</si>
  <si>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</si>
  <si>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</si>
  <si>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</si>
  <si>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</si>
  <si>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</si>
  <si>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</si>
  <si>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</si>
  <si>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</si>
  <si>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</si>
  <si>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</si>
  <si>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</si>
  <si>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</si>
  <si>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</si>
  <si>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</si>
  <si>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</si>
  <si>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</si>
  <si>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</si>
  <si>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</si>
  <si>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</si>
  <si>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</si>
  <si>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</si>
  <si>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</si>
  <si>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</si>
  <si>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</si>
  <si>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</si>
  <si>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</si>
  <si>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</si>
  <si>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</si>
  <si>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</si>
  <si>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</si>
  <si>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</si>
  <si>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</si>
  <si>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</si>
  <si>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</si>
  <si>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</si>
  <si>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</si>
  <si>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</si>
  <si>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</si>
  <si>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</si>
  <si>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</si>
  <si>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</si>
  <si>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</si>
  <si>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</si>
  <si>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</si>
  <si>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</si>
  <si>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</si>
  <si>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</si>
  <si>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</si>
  <si>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</si>
  <si>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</si>
  <si>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</si>
  <si>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</si>
  <si>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</si>
  <si>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</si>
  <si>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</si>
  <si>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</si>
  <si>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</si>
  <si>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</si>
  <si>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</si>
  <si>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</si>
  <si>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</si>
  <si>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</si>
  <si>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</si>
  <si>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</si>
  <si>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</si>
  <si>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</si>
  <si>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</si>
  <si>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</si>
  <si>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</si>
  <si>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</si>
  <si>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</si>
  <si>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</si>
  <si>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</si>
  <si>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</si>
  <si>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</si>
  <si>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</si>
  <si>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</si>
  <si>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</si>
  <si>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</si>
  <si>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</si>
  <si>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</si>
  <si>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</si>
  <si>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</si>
  <si>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</si>
  <si>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</si>
  <si>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</si>
  <si>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</si>
  <si>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</si>
  <si>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</si>
  <si>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</si>
  <si>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</si>
  <si>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</si>
  <si>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</si>
  <si>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</si>
  <si>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</si>
  <si>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</si>
  <si>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</si>
  <si>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</si>
  <si>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</si>
  <si>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</si>
  <si>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</si>
  <si>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</si>
  <si>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</si>
  <si>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</si>
  <si>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</si>
  <si>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</si>
  <si>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</si>
  <si>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</si>
  <si>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</si>
  <si>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</si>
  <si>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</si>
  <si>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</si>
  <si>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</si>
  <si>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</si>
  <si>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</si>
  <si>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</si>
  <si>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</si>
  <si>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</si>
  <si>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</si>
  <si>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</si>
  <si>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</si>
  <si>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</si>
  <si>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</si>
  <si>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</si>
  <si>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</si>
  <si>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</si>
  <si>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</si>
  <si>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</si>
  <si>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</si>
  <si>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</si>
  <si>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</si>
  <si>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</si>
  <si>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</si>
  <si>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</si>
  <si>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</si>
  <si>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</si>
  <si>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</si>
  <si>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</si>
  <si>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</si>
  <si>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</si>
  <si>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</si>
  <si>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</si>
  <si>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</si>
  <si>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</si>
  <si>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</si>
  <si>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</si>
  <si>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</si>
  <si>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</si>
  <si>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</si>
  <si>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</si>
  <si>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</si>
  <si>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</si>
  <si>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</si>
  <si>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</si>
  <si>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</si>
  <si>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</si>
  <si>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</si>
  <si>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</si>
  <si>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</si>
  <si>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</si>
  <si>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</si>
  <si>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</si>
  <si>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</si>
  <si>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</si>
  <si>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</si>
  <si>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</si>
  <si>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</si>
  <si>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</si>
  <si>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</si>
  <si>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</si>
  <si>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</si>
  <si>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</si>
  <si>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</si>
  <si>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</si>
  <si>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</si>
  <si>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</si>
  <si>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</si>
  <si>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</si>
  <si>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</si>
  <si>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</si>
  <si>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</si>
  <si>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</si>
  <si>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</si>
  <si>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</si>
  <si>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</si>
  <si>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</si>
  <si>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</si>
  <si>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</si>
  <si>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</si>
  <si>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</si>
  <si>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</si>
  <si>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</si>
  <si>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</si>
  <si>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</si>
  <si>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</si>
  <si>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</si>
  <si>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</si>
  <si>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</si>
  <si>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</si>
  <si>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</si>
  <si>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</si>
  <si>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</si>
  <si>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</si>
  <si>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</si>
  <si>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</si>
  <si>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</si>
  <si>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</si>
  <si>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</si>
  <si>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</si>
  <si>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</si>
  <si>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</si>
  <si>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</si>
  <si>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</si>
  <si>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</si>
  <si>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</si>
  <si>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</si>
  <si>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</si>
  <si>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</si>
  <si>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</si>
  <si>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</si>
  <si>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</si>
  <si>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</si>
  <si>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</si>
  <si>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</si>
  <si>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</si>
  <si>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</si>
  <si>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</si>
  <si>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</si>
  <si>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</si>
  <si>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</si>
  <si>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</si>
  <si>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</si>
  <si>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</si>
  <si>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</si>
  <si>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</si>
  <si>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</si>
  <si>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</si>
  <si>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</si>
  <si>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</si>
  <si>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</si>
  <si>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</si>
  <si>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</si>
  <si>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</si>
  <si>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</si>
  <si>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</si>
  <si>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</si>
  <si>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</si>
  <si>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</si>
  <si>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</si>
  <si>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</si>
  <si>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</si>
  <si>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</si>
  <si>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</si>
  <si>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</si>
  <si>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</si>
  <si>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</si>
  <si>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</si>
  <si>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</si>
  <si>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</si>
  <si>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</si>
  <si>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</si>
  <si>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</si>
  <si>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</si>
  <si>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</si>
  <si>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</si>
  <si>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</si>
  <si>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</si>
  <si>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</si>
  <si>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</si>
  <si>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</si>
  <si>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</si>
  <si>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</si>
  <si>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</si>
  <si>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</si>
  <si>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</si>
  <si>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</si>
  <si>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</si>
  <si>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</si>
  <si>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</si>
  <si>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</si>
  <si>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</si>
  <si>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</si>
  <si>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</si>
  <si>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</si>
  <si>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</si>
  <si>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</si>
  <si>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</si>
  <si>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</si>
  <si>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</si>
  <si>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</si>
  <si>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</si>
  <si>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</si>
  <si>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</si>
  <si>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</si>
  <si>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</si>
  <si>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</si>
  <si>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</si>
  <si>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</si>
  <si>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</si>
  <si>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</si>
  <si>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</si>
  <si>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</si>
  <si>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</si>
  <si>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</si>
  <si>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</si>
  <si>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</si>
  <si>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</si>
  <si>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</si>
  <si>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</si>
  <si>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</si>
  <si>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</si>
  <si>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</si>
  <si>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</si>
  <si>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</si>
  <si>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</si>
  <si>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</si>
  <si>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</si>
  <si>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</si>
  <si>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</si>
  <si>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</si>
  <si>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</si>
  <si>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</si>
  <si>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</si>
  <si>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</si>
  <si>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</si>
  <si>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</si>
  <si>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</si>
  <si>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</si>
  <si>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</si>
  <si>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</si>
  <si>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</si>
  <si>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</si>
  <si>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</si>
  <si>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</si>
  <si>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</si>
  <si>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</si>
  <si>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</si>
  <si>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</si>
  <si>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</si>
  <si>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</si>
  <si>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</si>
  <si>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</si>
  <si>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</si>
  <si>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</si>
  <si>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</si>
  <si>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</si>
  <si>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</si>
  <si>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</si>
  <si>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</si>
  <si>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</si>
  <si>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</si>
  <si>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</si>
  <si>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</si>
  <si>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</si>
  <si>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</si>
  <si>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</si>
  <si>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</si>
  <si>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</si>
  <si>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</si>
  <si>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</si>
  <si>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</si>
  <si>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</si>
  <si>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</si>
  <si>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</si>
  <si>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</si>
  <si>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</si>
  <si>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</si>
  <si>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</si>
  <si>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</si>
  <si>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</si>
  <si>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</si>
  <si>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</si>
  <si>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</si>
  <si>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</si>
  <si>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</si>
  <si>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</si>
  <si>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</si>
  <si>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</si>
  <si>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</si>
  <si>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</si>
  <si>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</si>
  <si>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</si>
  <si>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</si>
  <si>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</si>
  <si>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</si>
  <si>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</si>
  <si>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</si>
  <si>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</si>
  <si>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</si>
  <si>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</si>
  <si>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</si>
  <si>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</si>
  <si>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</si>
  <si>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</si>
  <si>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</si>
  <si>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</si>
  <si>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</si>
  <si>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</si>
  <si>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</si>
  <si>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</si>
  <si>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</si>
  <si>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</si>
  <si>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</si>
  <si>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</si>
  <si>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</si>
  <si>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</si>
  <si>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</si>
  <si>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</si>
  <si>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</si>
  <si>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</si>
  <si>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</si>
  <si>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</si>
  <si>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</si>
  <si>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</si>
  <si>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</si>
  <si>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</si>
  <si>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</si>
  <si>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</si>
  <si>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</si>
  <si>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</si>
  <si>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</si>
  <si>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</si>
  <si>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</si>
  <si>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</si>
  <si>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</si>
  <si>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</si>
  <si>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</si>
  <si>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</si>
  <si>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</si>
  <si>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</si>
  <si>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</si>
  <si>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</si>
  <si>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</si>
  <si>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</si>
  <si>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</si>
  <si>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</si>
  <si>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</si>
  <si>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</si>
  <si>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</si>
  <si>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</si>
  <si>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</si>
  <si>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</si>
  <si>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</si>
  <si>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</si>
  <si>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</si>
  <si>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</si>
  <si>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</si>
  <si>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</si>
  <si>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</si>
  <si>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</si>
  <si>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</si>
  <si>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</si>
  <si>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</si>
  <si>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</si>
  <si>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</si>
  <si>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</si>
  <si>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</si>
  <si>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</si>
  <si>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</si>
  <si>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</si>
  <si>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</si>
  <si>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</si>
  <si>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</si>
  <si>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</si>
  <si>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</si>
  <si>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</si>
  <si>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</si>
  <si>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</si>
  <si>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</si>
  <si>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</si>
  <si>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</si>
  <si>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</si>
  <si>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</si>
  <si>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</si>
  <si>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</si>
  <si>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</si>
  <si>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</si>
  <si>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</si>
  <si>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</si>
  <si>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</si>
  <si>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</si>
  <si>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</si>
  <si>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</si>
  <si>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</si>
  <si>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</si>
  <si>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</si>
  <si>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</si>
  <si>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</si>
  <si>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</si>
  <si>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</si>
  <si>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</si>
  <si>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</si>
  <si>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</si>
  <si>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</si>
  <si>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</si>
  <si>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</si>
  <si>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</si>
  <si>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</si>
  <si>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</si>
  <si>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</si>
  <si>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</si>
  <si>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</si>
  <si>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</si>
  <si>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</si>
  <si>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</si>
  <si>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</si>
  <si>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</si>
  <si>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</si>
  <si>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</si>
  <si>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</si>
  <si>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</si>
  <si>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</si>
  <si>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</si>
  <si>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</si>
  <si>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</si>
  <si>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</si>
  <si>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</si>
  <si>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</si>
  <si>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</si>
  <si>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</si>
  <si>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</si>
  <si>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</si>
  <si>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</si>
  <si>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</si>
  <si>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</si>
  <si>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</si>
  <si>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</si>
  <si>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</si>
  <si>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</si>
  <si>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</si>
  <si>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</si>
  <si>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</si>
  <si>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</si>
  <si>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</si>
  <si>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</si>
  <si>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</si>
  <si>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</si>
  <si>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</si>
  <si>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</si>
  <si>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</si>
  <si>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</si>
  <si>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</si>
  <si>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</si>
  <si>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</si>
  <si>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</si>
  <si>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</si>
  <si>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</si>
  <si>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</si>
  <si>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</si>
  <si>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</si>
  <si>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</si>
  <si>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</si>
  <si>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</si>
  <si>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</si>
  <si>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</si>
  <si>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</si>
  <si>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</si>
  <si>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</si>
  <si>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</si>
  <si>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</si>
  <si>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</si>
  <si>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</si>
  <si>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</si>
  <si>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</si>
  <si>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</si>
  <si>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</si>
  <si>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</si>
  <si>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</si>
  <si>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</si>
  <si>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</si>
  <si>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</si>
  <si>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</si>
  <si>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</si>
  <si>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</si>
  <si>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</si>
  <si>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</si>
  <si>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</si>
  <si>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</si>
  <si>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</si>
  <si>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</si>
  <si>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</si>
  <si>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</si>
  <si>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</si>
  <si>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</si>
  <si>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</si>
  <si>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</si>
  <si>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</si>
  <si>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</si>
  <si>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</si>
  <si>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</si>
  <si>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</si>
  <si>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</si>
  <si>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</si>
  <si>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</si>
  <si>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</si>
  <si>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</si>
  <si>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</si>
  <si>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</si>
  <si>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</si>
  <si>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</si>
  <si>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</si>
  <si>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</si>
  <si>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</si>
  <si>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</si>
  <si>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</si>
  <si>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</si>
  <si>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</si>
  <si>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</si>
  <si>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</si>
  <si>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</si>
  <si>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</si>
  <si>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</si>
  <si>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</si>
  <si>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</si>
  <si>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</si>
  <si>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</si>
  <si>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</si>
  <si>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</si>
  <si>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</si>
  <si>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</si>
  <si>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</si>
  <si>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</si>
  <si>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</si>
  <si>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</si>
  <si>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</si>
  <si>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</si>
  <si>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</si>
  <si>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</si>
  <si>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</si>
  <si>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</si>
  <si>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</si>
  <si>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</si>
  <si>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</si>
  <si>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</si>
  <si>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</si>
  <si>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</si>
  <si>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</si>
  <si>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</si>
  <si>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</si>
  <si>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</si>
  <si>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</si>
  <si>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</si>
  <si>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</si>
  <si>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</si>
  <si>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</si>
  <si>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</si>
  <si>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</si>
  <si>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</si>
  <si>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</si>
  <si>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</si>
  <si>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</si>
  <si>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</si>
  <si>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</si>
  <si>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</si>
  <si>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</si>
  <si>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</si>
  <si>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</si>
  <si>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</si>
  <si>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</si>
  <si>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</si>
  <si>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</si>
  <si>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</si>
  <si>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</si>
  <si>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</si>
  <si>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</si>
  <si>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</si>
  <si>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</si>
  <si>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</si>
  <si>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</si>
  <si>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</si>
  <si>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</si>
  <si>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</si>
  <si>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</si>
  <si>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</si>
  <si>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</si>
  <si>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</si>
  <si>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</si>
  <si>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</si>
  <si>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</si>
  <si>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</si>
  <si>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</si>
  <si>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</si>
  <si>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</si>
  <si>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</si>
  <si>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</si>
  <si>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</si>
  <si>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</si>
  <si>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</si>
  <si>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</si>
  <si>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</si>
  <si>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</si>
  <si>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</si>
  <si>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</si>
  <si>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</si>
  <si>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</si>
  <si>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</si>
  <si>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</si>
  <si>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</si>
  <si>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</si>
  <si>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</si>
  <si>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</si>
  <si>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</si>
  <si>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</si>
  <si>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</si>
  <si>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</si>
  <si>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</si>
  <si>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</si>
  <si>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</si>
  <si>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</si>
  <si>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</si>
  <si>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</si>
  <si>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</si>
  <si>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</si>
  <si>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</si>
  <si>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</si>
  <si>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</si>
  <si>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</si>
  <si>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</si>
  <si>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</si>
  <si>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</si>
  <si>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</si>
  <si>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</si>
  <si>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</si>
  <si>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</si>
  <si>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</si>
  <si>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</si>
  <si>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</si>
  <si>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</si>
  <si>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</si>
  <si>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</si>
  <si>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</si>
  <si>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</si>
  <si>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</si>
  <si>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</si>
  <si>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</si>
  <si>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</si>
  <si>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</si>
  <si>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</si>
  <si>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</si>
  <si>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</si>
  <si>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</si>
  <si>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</si>
  <si>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</si>
  <si>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</si>
  <si>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</si>
  <si>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</si>
  <si>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</si>
  <si>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</si>
  <si>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</si>
  <si>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</si>
  <si>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</si>
  <si>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</si>
  <si>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</si>
  <si>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</si>
  <si>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</si>
  <si>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</si>
  <si>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</si>
  <si>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</si>
  <si>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</si>
  <si>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</si>
  <si>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</si>
  <si>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</si>
  <si>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</si>
  <si>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</si>
  <si>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</si>
  <si>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</si>
  <si>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</si>
  <si>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</si>
  <si>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</si>
  <si>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</si>
  <si>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</si>
  <si>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</si>
  <si>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</si>
  <si>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</si>
  <si>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</si>
  <si>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</si>
  <si>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</si>
  <si>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</si>
  <si>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</si>
  <si>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</si>
  <si>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</si>
  <si>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</si>
  <si>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</si>
  <si>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</si>
  <si>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</si>
  <si>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</si>
  <si>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</si>
  <si>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</si>
  <si>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</si>
  <si>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</si>
  <si>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</si>
  <si>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</si>
  <si>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</si>
  <si>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</si>
  <si>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</si>
  <si>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</si>
  <si>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</si>
  <si>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</si>
  <si>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</si>
  <si>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</si>
  <si>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</si>
  <si>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</si>
  <si>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</si>
  <si>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</si>
  <si>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</si>
  <si>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</si>
  <si>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</si>
  <si>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</si>
  <si>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</si>
  <si>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</si>
  <si>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</si>
  <si>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</si>
  <si>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</si>
  <si>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</si>
  <si>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</si>
  <si>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</si>
  <si>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</si>
  <si>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</si>
  <si>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</si>
  <si>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</si>
  <si>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</si>
  <si>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</si>
  <si>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</si>
  <si>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</si>
  <si>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</si>
  <si>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</si>
  <si>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</si>
  <si>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</si>
  <si>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</si>
  <si>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</si>
  <si>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</si>
  <si>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</si>
  <si>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</si>
  <si>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</si>
  <si>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</si>
  <si>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</si>
  <si>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</si>
  <si>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</si>
  <si>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</si>
  <si>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</si>
  <si>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</si>
  <si>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</si>
  <si>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</si>
  <si>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</si>
  <si>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</si>
  <si>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</si>
  <si>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</si>
  <si>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</si>
  <si>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</si>
  <si>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</si>
  <si>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</si>
  <si>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</si>
  <si>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</si>
  <si>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</si>
  <si>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</si>
  <si>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</si>
  <si>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</si>
  <si>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</si>
  <si>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</si>
  <si>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</si>
  <si>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</si>
  <si>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</si>
  <si>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</si>
  <si>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</si>
  <si>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</si>
  <si>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</si>
  <si>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</si>
  <si>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</si>
  <si>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</si>
  <si>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</si>
  <si>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</si>
  <si>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</si>
  <si>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</si>
  <si>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</si>
  <si>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</si>
  <si>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</si>
  <si>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</si>
  <si>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</si>
  <si>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</si>
  <si>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</si>
  <si>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</si>
  <si>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</si>
  <si>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</si>
  <si>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</si>
  <si>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</si>
  <si>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</si>
  <si>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</si>
  <si>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</si>
  <si>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</si>
  <si>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</si>
  <si>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</si>
  <si>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</si>
  <si>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</si>
  <si>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</si>
  <si>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</si>
  <si>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</si>
  <si>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</si>
  <si>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</si>
  <si>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</si>
  <si>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</si>
  <si>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</si>
  <si>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</si>
  <si>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</si>
  <si>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</si>
  <si>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</si>
  <si>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</si>
  <si>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</si>
  <si>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</si>
  <si>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</si>
  <si>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</si>
  <si>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</si>
  <si>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</si>
  <si>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</si>
  <si>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</si>
  <si>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</si>
  <si>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</si>
  <si>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</si>
  <si>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</si>
  <si>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</si>
  <si>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</si>
  <si>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</si>
  <si>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</si>
  <si>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</si>
  <si>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</si>
  <si>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</si>
  <si>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</si>
  <si>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</si>
  <si>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</si>
  <si>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</si>
  <si>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</si>
  <si>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</si>
  <si>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</si>
  <si>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</si>
  <si>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</si>
  <si>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</si>
  <si>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</si>
  <si>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</si>
  <si>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</si>
  <si>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</si>
  <si>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</si>
  <si>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</si>
  <si>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</si>
  <si>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</si>
  <si>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</si>
  <si>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</si>
  <si>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</si>
  <si>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</si>
  <si>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</si>
  <si>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</si>
  <si>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</si>
  <si>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</si>
  <si>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</si>
  <si>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</si>
  <si>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</si>
  <si>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</si>
  <si>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</si>
  <si>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</si>
  <si>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</si>
  <si>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</si>
  <si>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</si>
  <si>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</si>
  <si>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</si>
  <si>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</si>
  <si>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</si>
  <si>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</si>
  <si>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</si>
  <si>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</si>
  <si>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</si>
  <si>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</si>
  <si>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</si>
  <si>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</si>
  <si>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</si>
  <si>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</si>
  <si>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</si>
  <si>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</si>
  <si>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</si>
  <si>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</si>
  <si>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</si>
  <si>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</si>
  <si>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</si>
  <si>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</si>
  <si>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</si>
  <si>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</si>
  <si>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</si>
  <si>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</si>
  <si>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</si>
  <si>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</si>
  <si>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</si>
  <si>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</si>
  <si>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</si>
  <si>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</si>
  <si>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</si>
  <si>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</si>
  <si>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</si>
  <si>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</si>
  <si>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</si>
  <si>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</si>
  <si>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</si>
  <si>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</si>
  <si>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</si>
  <si>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</si>
  <si>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</si>
  <si>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</si>
  <si>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</si>
  <si>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</si>
  <si>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</si>
  <si>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</si>
  <si>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</si>
  <si>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</si>
  <si>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</si>
  <si>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</si>
  <si>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</si>
  <si>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</si>
  <si>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</si>
  <si>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</si>
  <si>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</si>
  <si>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</si>
  <si>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</si>
  <si>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</si>
  <si>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</si>
  <si>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</si>
  <si>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</si>
  <si>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</si>
  <si>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</si>
  <si>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</si>
  <si>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</si>
  <si>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</si>
  <si>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</si>
  <si>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</si>
  <si>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</si>
  <si>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</si>
  <si>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</si>
  <si>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</si>
  <si>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</si>
  <si>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</si>
  <si>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</si>
  <si>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</si>
  <si>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</si>
  <si>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</si>
  <si>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</si>
  <si>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</si>
  <si>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</si>
  <si>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</si>
  <si>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</si>
  <si>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</si>
  <si>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</si>
  <si>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</si>
  <si>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</si>
  <si>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</si>
  <si>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</si>
  <si>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</si>
  <si>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</si>
  <si>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</si>
  <si>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</si>
  <si>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</si>
  <si>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</si>
  <si>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</si>
  <si>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</si>
  <si>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</si>
  <si>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</si>
  <si>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</si>
  <si>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</si>
  <si>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</si>
  <si>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</si>
  <si>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</si>
  <si>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</si>
  <si>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</si>
  <si>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</si>
  <si>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</si>
  <si>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</si>
  <si>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</si>
  <si>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</si>
  <si>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</si>
  <si>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</si>
  <si>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</si>
  <si>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</si>
  <si>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</si>
  <si>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</si>
  <si>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</si>
  <si>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</si>
  <si>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</si>
  <si>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</si>
  <si>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</si>
  <si>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</si>
  <si>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</si>
  <si>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</si>
  <si>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</si>
  <si>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</si>
  <si>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</si>
  <si>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</si>
  <si>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</si>
  <si>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</si>
  <si>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</si>
  <si>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</si>
  <si>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</si>
  <si>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</si>
  <si>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</si>
  <si>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</si>
  <si>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</si>
  <si>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</si>
  <si>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</si>
  <si>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</si>
  <si>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</si>
  <si>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</si>
  <si>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</si>
  <si>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</si>
  <si>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</si>
  <si>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</si>
  <si>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</si>
  <si>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</si>
  <si>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</si>
  <si>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</si>
  <si>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</si>
  <si>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</si>
  <si>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</si>
  <si>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</si>
  <si>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</si>
  <si>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</si>
  <si>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</si>
  <si>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</si>
  <si>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</si>
  <si>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</si>
  <si>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</si>
  <si>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</si>
  <si>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</si>
  <si>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</si>
  <si>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</si>
  <si>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</si>
  <si>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</si>
  <si>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</si>
  <si>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</si>
  <si>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</si>
  <si>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</si>
  <si>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</si>
  <si>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</si>
  <si>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</si>
  <si>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</si>
  <si>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</si>
  <si>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</si>
  <si>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</si>
  <si>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</si>
  <si>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</si>
  <si>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</si>
  <si>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</si>
  <si>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</si>
  <si>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</si>
  <si>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</si>
  <si>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</si>
  <si>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</si>
  <si>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</si>
  <si>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</si>
  <si>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</si>
  <si>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</si>
  <si>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</si>
  <si>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</si>
  <si>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</si>
  <si>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</si>
  <si>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</si>
  <si>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</si>
  <si>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</si>
  <si>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</si>
  <si>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</si>
  <si>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</si>
  <si>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</si>
  <si>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</si>
  <si>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</si>
  <si>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</si>
  <si>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</si>
  <si>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</si>
  <si>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</si>
  <si>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</si>
  <si>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</si>
  <si>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</si>
  <si>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</si>
  <si>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</si>
  <si>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</si>
  <si>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</si>
  <si>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</si>
  <si>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</si>
  <si>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</si>
  <si>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</si>
  <si>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</si>
  <si>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</si>
  <si>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</si>
  <si>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</si>
  <si>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</si>
  <si>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</si>
  <si>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</si>
  <si>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</si>
  <si>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</si>
  <si>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</si>
  <si>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</si>
  <si>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</si>
  <si>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</si>
  <si>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</si>
  <si>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</si>
  <si>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</si>
  <si>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</si>
  <si>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</si>
  <si>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</si>
  <si>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</si>
  <si>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</si>
  <si>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</si>
  <si>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</si>
  <si>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</si>
  <si>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</si>
  <si>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</si>
  <si>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</si>
  <si>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</si>
  <si>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</si>
  <si>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</si>
  <si>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</si>
  <si>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</si>
  <si>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</si>
  <si>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</si>
  <si>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</si>
  <si>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</si>
  <si>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</si>
  <si>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</si>
  <si>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</si>
  <si>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</si>
  <si>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</si>
  <si>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</si>
  <si>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</si>
  <si>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</si>
  <si>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</si>
  <si>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</si>
  <si>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</si>
  <si>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</si>
  <si>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</si>
  <si>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</si>
  <si>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</si>
  <si>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</si>
  <si>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</si>
  <si>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</si>
  <si>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</si>
  <si>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</si>
  <si>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</si>
  <si>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</si>
  <si>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</si>
  <si>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</si>
  <si>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</si>
  <si>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</si>
  <si>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</si>
  <si>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</si>
  <si>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</si>
  <si>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</si>
  <si>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</si>
  <si>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</si>
  <si>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</si>
  <si>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</si>
  <si>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</si>
  <si>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</si>
  <si>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</si>
  <si>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</si>
  <si>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</si>
  <si>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</si>
  <si>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</si>
  <si>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</si>
  <si>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</si>
  <si>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</si>
  <si>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</si>
  <si>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</si>
  <si>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</si>
  <si>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</si>
  <si>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</si>
  <si>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</si>
  <si>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</si>
  <si>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</si>
  <si>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</si>
  <si>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</si>
  <si>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</si>
  <si>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</si>
  <si>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</si>
  <si>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</si>
  <si>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</si>
  <si>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</si>
  <si>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</si>
  <si>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</si>
  <si>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</si>
  <si>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</si>
  <si>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</si>
  <si>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</si>
  <si>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</si>
  <si>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</si>
  <si>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</si>
  <si>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</si>
  <si>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</si>
  <si>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</si>
  <si>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</si>
  <si>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</si>
  <si>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</si>
  <si>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</si>
  <si>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</si>
  <si>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</si>
  <si>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</si>
  <si>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</si>
  <si>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</si>
  <si>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</si>
  <si>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</si>
  <si>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</si>
  <si>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</si>
  <si>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</si>
  <si>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</si>
  <si>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</si>
  <si>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</si>
  <si>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</si>
  <si>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</si>
  <si>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</si>
  <si>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</si>
  <si>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</si>
  <si>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</si>
  <si>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</si>
  <si>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</si>
  <si>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</si>
  <si>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</si>
  <si>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</si>
  <si>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</si>
  <si>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</si>
  <si>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</si>
  <si>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</si>
  <si>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</si>
  <si>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</si>
  <si>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</si>
  <si>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</si>
  <si>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</si>
  <si>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</si>
  <si>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</si>
  <si>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</si>
  <si>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</si>
  <si>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</si>
  <si>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</si>
  <si>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</si>
  <si>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</si>
  <si>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</si>
  <si>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</si>
  <si>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</si>
  <si>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</si>
  <si>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</si>
  <si>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</si>
  <si>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</si>
  <si>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</si>
  <si>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</si>
  <si>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</si>
  <si>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</si>
  <si>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</si>
  <si>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</si>
  <si>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</si>
  <si>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</si>
  <si>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</si>
  <si>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</si>
  <si>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</si>
  <si>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</si>
  <si>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</si>
  <si>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</si>
  <si>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</si>
  <si>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</si>
  <si>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</si>
  <si>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</si>
  <si>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</si>
  <si>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</si>
  <si>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</si>
  <si>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</si>
  <si>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</si>
  <si>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</si>
  <si>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</si>
  <si>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</si>
  <si>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</si>
  <si>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</si>
  <si>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</si>
  <si>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</si>
  <si>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</si>
  <si>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</si>
  <si>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</si>
  <si>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</si>
  <si>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</si>
  <si>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</si>
  <si>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</si>
  <si>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</si>
  <si>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</si>
  <si>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</si>
  <si>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</si>
  <si>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</si>
  <si>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</si>
  <si>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</si>
  <si>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</si>
  <si>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</si>
  <si>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</si>
  <si>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</si>
  <si>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</si>
  <si>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</si>
  <si>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</si>
  <si>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</si>
  <si>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</si>
  <si>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</si>
  <si>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</si>
  <si>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</si>
  <si>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</si>
  <si>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</si>
  <si>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</si>
  <si>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</si>
  <si>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</si>
  <si>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</si>
  <si>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</si>
  <si>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</si>
  <si>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</si>
  <si>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</si>
  <si>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</si>
  <si>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</si>
  <si>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</si>
  <si>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</si>
  <si>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</si>
  <si>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</si>
  <si>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</si>
  <si>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</si>
  <si>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</si>
  <si>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</si>
  <si>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</si>
  <si>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</si>
  <si>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</si>
  <si>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</si>
  <si>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</si>
  <si>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</si>
  <si>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</si>
  <si>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</si>
  <si>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</si>
  <si>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</si>
  <si>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</si>
  <si>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</si>
  <si>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</si>
  <si>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</si>
  <si>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</si>
  <si>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</si>
  <si>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</si>
  <si>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</si>
  <si>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</si>
  <si>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</si>
  <si>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</si>
  <si>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</si>
  <si>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</si>
  <si>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</si>
  <si>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</si>
  <si>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</si>
  <si>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</si>
  <si>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</si>
  <si>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</si>
  <si>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</si>
  <si>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</si>
  <si>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</si>
  <si>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</si>
  <si>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</si>
  <si>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</si>
  <si>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</si>
  <si>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</si>
  <si>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</si>
  <si>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</si>
  <si>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</si>
  <si>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</si>
  <si>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</si>
  <si>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</si>
  <si>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</si>
  <si>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</si>
  <si>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</si>
  <si>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</si>
  <si>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</si>
  <si>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</si>
  <si>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</si>
  <si>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</si>
  <si>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</si>
  <si>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</si>
  <si>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</si>
  <si>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</si>
  <si>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</si>
  <si>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</si>
  <si>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</si>
  <si>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</si>
  <si>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</si>
  <si>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</si>
  <si>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</si>
  <si>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</si>
  <si>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</si>
  <si>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</si>
  <si>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</si>
  <si>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</si>
  <si>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</si>
  <si>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</si>
  <si>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</si>
  <si>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</si>
  <si>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</si>
  <si>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</si>
  <si>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</si>
  <si>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</si>
  <si>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</si>
  <si>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</si>
  <si>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</si>
  <si>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</si>
  <si>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</si>
  <si>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</si>
  <si>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</si>
  <si>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</si>
  <si>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</si>
  <si>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</si>
  <si>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</si>
  <si>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</si>
  <si>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</si>
  <si>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</si>
  <si>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</si>
  <si>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</si>
  <si>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</si>
  <si>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</si>
  <si>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</si>
  <si>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</si>
  <si>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</si>
  <si>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</si>
  <si>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</si>
  <si>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</si>
  <si>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</si>
  <si>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</si>
  <si>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</si>
  <si>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</si>
  <si>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</si>
  <si>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</si>
  <si>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</si>
  <si>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</si>
  <si>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</si>
  <si>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</si>
  <si>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</si>
  <si>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</si>
  <si>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</si>
  <si>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</si>
  <si>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</si>
  <si>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</si>
  <si>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</si>
  <si>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</si>
  <si>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</si>
  <si>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</si>
  <si>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</si>
  <si>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</si>
  <si>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</si>
  <si>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</si>
  <si>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</si>
  <si>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</si>
  <si>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</si>
  <si>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</si>
  <si>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</si>
  <si>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</si>
  <si>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</si>
  <si>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</si>
  <si>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</si>
  <si>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</si>
  <si>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</si>
  <si>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</si>
  <si>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</si>
  <si>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</si>
  <si>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</si>
  <si>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</si>
  <si>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</si>
  <si>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</si>
  <si>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</si>
  <si>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</si>
  <si>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</si>
  <si>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</si>
  <si>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</si>
  <si>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</si>
  <si>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</si>
  <si>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</si>
  <si>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</si>
  <si>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</si>
  <si>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</si>
  <si>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</si>
  <si>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</si>
  <si>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</si>
  <si>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</si>
  <si>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</si>
  <si>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</si>
  <si>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</si>
  <si>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</si>
  <si>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</si>
  <si>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</si>
  <si>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</si>
  <si>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</si>
  <si>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</si>
  <si>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</si>
  <si>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</si>
  <si>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</si>
  <si>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</si>
  <si>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</si>
  <si>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</si>
  <si>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</si>
  <si>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</si>
  <si>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</si>
  <si>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</si>
  <si>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</si>
  <si>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</si>
  <si>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</si>
  <si>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</si>
  <si>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</si>
  <si>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</si>
  <si>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</si>
  <si>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</si>
  <si>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</si>
  <si>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</si>
  <si>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</si>
  <si>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</si>
  <si>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</si>
  <si>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</si>
  <si>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</si>
  <si>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</si>
  <si>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</si>
  <si>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</si>
  <si>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</si>
  <si>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</si>
  <si>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</si>
  <si>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</si>
  <si>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</si>
  <si>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</si>
  <si>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</si>
  <si>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</si>
  <si>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</si>
  <si>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</si>
  <si>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</si>
  <si>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</si>
  <si>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</si>
  <si>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</si>
  <si>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</si>
  <si>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</si>
  <si>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</si>
  <si>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</si>
  <si>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</si>
  <si>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</si>
  <si>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</si>
  <si>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</si>
  <si>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</si>
  <si>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</si>
  <si>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</si>
  <si>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</si>
  <si>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</si>
  <si>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</si>
  <si>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</si>
  <si>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</si>
  <si>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</si>
  <si>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</si>
  <si>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</si>
  <si>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</si>
  <si>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</si>
  <si>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</si>
  <si>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</si>
  <si>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</si>
  <si>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</si>
  <si>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</si>
  <si>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</si>
  <si>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</si>
  <si>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</si>
  <si>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</si>
  <si>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</si>
  <si>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</si>
  <si>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</si>
  <si>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</si>
  <si>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</si>
  <si>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</si>
  <si>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</si>
  <si>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</si>
  <si>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</si>
  <si>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</si>
  <si>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</si>
  <si>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</si>
  <si>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</si>
  <si>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</si>
  <si>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</si>
  <si>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</si>
  <si>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</si>
  <si>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</si>
  <si>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</si>
  <si>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</si>
  <si>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</si>
  <si>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</si>
  <si>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</si>
  <si>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</si>
  <si>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</si>
  <si>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</si>
  <si>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</si>
  <si>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</si>
  <si>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</si>
  <si>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</si>
  <si>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</si>
  <si>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</si>
  <si>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</si>
  <si>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</si>
  <si>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</si>
  <si>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</si>
  <si>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</si>
  <si>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</si>
  <si>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</si>
  <si>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</si>
  <si>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</si>
  <si>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</si>
  <si>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</si>
  <si>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</si>
  <si>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</si>
  <si>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</si>
  <si>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</si>
  <si>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</si>
  <si>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</si>
  <si>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</si>
  <si>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</si>
  <si>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</si>
  <si>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</si>
  <si>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</si>
  <si>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</si>
  <si>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</si>
  <si>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</si>
  <si>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</si>
  <si>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</si>
  <si>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</si>
  <si>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</si>
  <si>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</si>
  <si>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</si>
  <si>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</si>
  <si>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</si>
  <si>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</si>
  <si>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</si>
  <si>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</si>
  <si>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</si>
  <si>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</si>
  <si>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</si>
  <si>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</si>
  <si>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</si>
  <si>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</si>
  <si>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</si>
  <si>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</si>
  <si>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</si>
  <si>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</si>
  <si>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</si>
  <si>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</si>
  <si>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</si>
  <si>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</si>
  <si>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</si>
  <si>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</si>
  <si>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</si>
  <si>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</si>
  <si>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</si>
  <si>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</si>
  <si>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</si>
  <si>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</si>
  <si>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</si>
  <si>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</si>
  <si>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</si>
  <si>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</si>
  <si>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</si>
  <si>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</si>
  <si>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</si>
  <si>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</si>
  <si>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</si>
  <si>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</si>
  <si>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</si>
  <si>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</si>
  <si>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</si>
  <si>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</si>
  <si>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</si>
  <si>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</si>
  <si>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</si>
  <si>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</si>
  <si>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</si>
  <si>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</si>
  <si>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</si>
  <si>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</si>
  <si>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</si>
  <si>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</si>
  <si>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</si>
  <si>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</si>
  <si>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</si>
  <si>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</si>
  <si>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</si>
  <si>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</si>
  <si>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</si>
  <si>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</si>
  <si>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</si>
  <si>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</si>
  <si>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</si>
  <si>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</si>
  <si>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</si>
  <si>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</si>
  <si>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</si>
  <si>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</si>
  <si>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</si>
  <si>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</si>
  <si>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</si>
  <si>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</si>
  <si>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</si>
  <si>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</si>
  <si>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</si>
  <si>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</si>
  <si>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</si>
  <si>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</si>
  <si>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</si>
  <si>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</si>
  <si>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</si>
  <si>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</si>
  <si>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</si>
  <si>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</si>
  <si>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</si>
  <si>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</si>
  <si>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</si>
  <si>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</si>
  <si>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</si>
  <si>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</si>
  <si>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</si>
  <si>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</si>
  <si>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</si>
  <si>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</si>
  <si>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</si>
  <si>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</si>
  <si>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</si>
  <si>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</si>
  <si>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</si>
  <si>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</si>
  <si>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</si>
  <si>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</si>
  <si>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</si>
  <si>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</si>
  <si>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</si>
  <si>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</si>
  <si>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</si>
  <si>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</si>
  <si>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</si>
  <si>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</si>
  <si>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</si>
  <si>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</si>
  <si>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</si>
  <si>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</si>
  <si>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</si>
  <si>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</si>
  <si>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</si>
  <si>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</si>
  <si>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</si>
  <si>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</si>
  <si>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</si>
  <si>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</si>
  <si>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</si>
  <si>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</si>
  <si>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</si>
  <si>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</si>
  <si>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</si>
  <si>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</si>
  <si>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</si>
  <si>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</si>
  <si>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</si>
  <si>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</si>
  <si>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</si>
  <si>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</si>
  <si>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</si>
  <si>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</si>
  <si>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</si>
  <si>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</si>
  <si>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</si>
  <si>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</si>
  <si>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</si>
  <si>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</si>
  <si>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</si>
  <si>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</si>
  <si>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</si>
  <si>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</si>
  <si>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</si>
  <si>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</si>
  <si>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</si>
  <si>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</si>
  <si>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</si>
  <si>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</si>
  <si>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</si>
  <si>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</si>
  <si>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</si>
  <si>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</si>
  <si>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</si>
  <si>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</si>
  <si>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</si>
  <si>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</si>
  <si>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</si>
  <si>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</si>
  <si>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</si>
  <si>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</si>
  <si>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</si>
  <si>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</si>
  <si>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</si>
  <si>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</si>
  <si>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</si>
  <si>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</si>
  <si>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</si>
  <si>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</si>
  <si>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</si>
  <si>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</si>
  <si>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</si>
  <si>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</si>
  <si>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</si>
  <si>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</si>
  <si>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</si>
  <si>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</si>
  <si>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</si>
  <si>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</si>
  <si>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</si>
  <si>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</si>
  <si>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</si>
  <si>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</si>
  <si>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</si>
  <si>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</si>
  <si>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</si>
  <si>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</si>
  <si>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</si>
  <si>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</si>
  <si>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</si>
  <si>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</si>
  <si>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</si>
  <si>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</si>
  <si>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</si>
  <si>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</si>
  <si>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</si>
  <si>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</si>
  <si>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</si>
  <si>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</si>
  <si>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</si>
  <si>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</si>
  <si>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</si>
  <si>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</si>
  <si>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</si>
  <si>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</si>
  <si>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</si>
  <si>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</si>
  <si>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</si>
  <si>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</si>
  <si>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</si>
  <si>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</si>
  <si>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</si>
  <si>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</si>
  <si>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</si>
  <si>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</si>
  <si>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</si>
  <si>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</si>
  <si>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</si>
  <si>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</si>
  <si>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</si>
  <si>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</si>
  <si>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</si>
  <si>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</si>
  <si>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</si>
  <si>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</si>
  <si>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</si>
  <si>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</si>
  <si>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</si>
  <si>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</si>
  <si>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</si>
  <si>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</si>
  <si>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</si>
  <si>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</si>
  <si>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</si>
  <si>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</si>
  <si>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</si>
  <si>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</si>
  <si>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</si>
  <si>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</si>
  <si>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</si>
  <si>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</si>
  <si>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</si>
  <si>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</si>
  <si>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</si>
  <si>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</si>
  <si>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</si>
  <si>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</si>
  <si>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</si>
  <si>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</si>
  <si>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</si>
  <si>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</si>
  <si>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</si>
  <si>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</si>
  <si>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</si>
  <si>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</si>
  <si>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</si>
  <si>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</si>
  <si>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</si>
  <si>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</si>
  <si>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</si>
  <si>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</si>
  <si>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</si>
  <si>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</si>
  <si>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</si>
  <si>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</si>
  <si>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</si>
  <si>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</si>
  <si>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</si>
  <si>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</si>
  <si>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</si>
  <si>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</si>
  <si>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</si>
  <si>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</si>
  <si>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</si>
  <si>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</si>
  <si>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</si>
  <si>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</si>
  <si>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</si>
  <si>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</si>
  <si>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</si>
  <si>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</si>
  <si>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</si>
  <si>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</si>
  <si>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</si>
  <si>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</si>
  <si>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</si>
  <si>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</si>
  <si>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</si>
  <si>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</si>
  <si>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</si>
  <si>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</si>
  <si>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</si>
  <si>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</si>
  <si>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</si>
  <si>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</si>
  <si>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</si>
  <si>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</si>
  <si>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</si>
  <si>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</si>
  <si>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</si>
  <si>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</si>
  <si>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</si>
  <si>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</si>
  <si>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</si>
  <si>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</si>
  <si>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</si>
  <si>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</si>
  <si>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</si>
  <si>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</si>
  <si>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</si>
  <si>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</si>
  <si>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</si>
  <si>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</si>
  <si>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</si>
  <si>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</si>
  <si>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</si>
  <si>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</si>
  <si>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</si>
  <si>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</si>
  <si>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</si>
  <si>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</si>
  <si>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</si>
  <si>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</si>
  <si>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</si>
  <si>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</si>
  <si>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</si>
  <si>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</si>
  <si>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</si>
  <si>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</si>
  <si>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</si>
  <si>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</si>
  <si>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</si>
  <si>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</si>
  <si>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</si>
  <si>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</si>
  <si>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</si>
  <si>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</si>
  <si>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</si>
  <si>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</si>
  <si>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</si>
  <si>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</si>
  <si>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</si>
  <si>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</si>
  <si>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</si>
  <si>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</si>
  <si>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</si>
  <si>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</si>
  <si>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</si>
  <si>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</si>
  <si>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</si>
  <si>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</si>
  <si>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</si>
  <si>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</si>
  <si>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</si>
  <si>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</si>
  <si>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</si>
  <si>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</si>
  <si>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</si>
  <si>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</si>
  <si>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</si>
  <si>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</si>
  <si>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</si>
  <si>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</si>
  <si>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</si>
  <si>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</si>
  <si>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</si>
  <si>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</si>
  <si>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</si>
  <si>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</si>
  <si>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</si>
  <si>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</si>
  <si>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</si>
  <si>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</si>
  <si>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</si>
  <si>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</si>
  <si>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</si>
  <si>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</si>
  <si>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</si>
  <si>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</si>
  <si>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</si>
  <si>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</si>
  <si>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</si>
  <si>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</si>
  <si>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</si>
  <si>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</si>
  <si>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</si>
  <si>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</si>
  <si>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</si>
  <si>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</si>
  <si>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</si>
  <si>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</si>
  <si>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</si>
  <si>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</si>
  <si>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</si>
  <si>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</si>
  <si>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</si>
  <si>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</si>
  <si>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</si>
  <si>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</si>
  <si>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</si>
  <si>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</si>
  <si>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</si>
  <si>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</si>
  <si>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</si>
  <si>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</si>
  <si>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</si>
  <si>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</si>
  <si>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</si>
  <si>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</si>
  <si>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</si>
  <si>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</si>
  <si>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</si>
  <si>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</si>
  <si>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</si>
  <si>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</si>
  <si>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</si>
  <si>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</si>
  <si>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</si>
  <si>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</si>
  <si>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</si>
  <si>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</si>
  <si>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</si>
  <si>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</si>
  <si>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</si>
  <si>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</si>
  <si>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</si>
  <si>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</si>
  <si>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</si>
  <si>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</si>
  <si>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</si>
  <si>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</si>
  <si>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</si>
  <si>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</si>
  <si>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</si>
  <si>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</si>
  <si>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</si>
  <si>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</si>
  <si>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</si>
  <si>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</si>
  <si>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</si>
  <si>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</si>
  <si>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</si>
  <si>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</si>
  <si>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</si>
  <si>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</si>
  <si>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</si>
  <si>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</si>
  <si>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</si>
  <si>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</si>
  <si>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</si>
  <si>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</si>
  <si>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</si>
  <si>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</si>
  <si>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</si>
  <si>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</si>
  <si>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</si>
  <si>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</si>
  <si>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</si>
  <si>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</si>
  <si>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</si>
  <si>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</si>
  <si>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</si>
  <si>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</si>
  <si>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</si>
  <si>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</si>
  <si>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</si>
  <si>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</si>
  <si>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</si>
  <si>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</si>
  <si>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</si>
  <si>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</si>
  <si>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</si>
  <si>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</si>
  <si>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</si>
  <si>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</si>
  <si>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</si>
  <si>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</si>
  <si>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</si>
  <si>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</si>
  <si>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</si>
  <si>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</si>
  <si>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</si>
  <si>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</si>
  <si>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</si>
  <si>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</si>
  <si>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</si>
  <si>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</si>
  <si>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</si>
  <si>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</si>
  <si>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</si>
  <si>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</si>
  <si>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</si>
  <si>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</si>
  <si>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</si>
  <si>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</si>
  <si>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</si>
  <si>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</si>
  <si>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</si>
  <si>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</si>
  <si>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</si>
  <si>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</si>
  <si>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</si>
  <si>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</si>
  <si>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</si>
  <si>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</si>
  <si>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</si>
  <si>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</si>
  <si>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</si>
  <si>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</si>
  <si>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</si>
  <si>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</si>
  <si>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</si>
  <si>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</si>
  <si>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</si>
  <si>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</si>
  <si>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</si>
  <si>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</si>
  <si>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</si>
  <si>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</si>
  <si>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</si>
  <si>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</si>
  <si>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</si>
  <si>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</si>
  <si>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</si>
  <si>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</si>
  <si>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</si>
  <si>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</si>
  <si>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</si>
  <si>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</si>
  <si>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</si>
  <si>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</si>
  <si>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</si>
  <si>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</si>
  <si>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</si>
  <si>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</si>
  <si>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</si>
  <si>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</si>
  <si>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</si>
  <si>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</si>
  <si>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</si>
  <si>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</si>
  <si>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</si>
  <si>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</si>
  <si>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</si>
  <si>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</si>
  <si>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</si>
  <si>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</si>
  <si>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</si>
  <si>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</si>
  <si>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</si>
  <si>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</si>
  <si>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</si>
  <si>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</si>
  <si>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</si>
  <si>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</si>
  <si>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</si>
  <si>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</si>
  <si>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</si>
  <si>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</si>
  <si>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</si>
  <si>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</si>
  <si>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</si>
  <si>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</si>
  <si>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</si>
  <si>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</si>
  <si>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</si>
  <si>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</si>
  <si>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</si>
  <si>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</si>
  <si>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</si>
  <si>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</si>
  <si>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</si>
  <si>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</si>
  <si>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</si>
  <si>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</si>
  <si>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</si>
  <si>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</si>
  <si>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</si>
  <si>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</si>
  <si>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</si>
  <si>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</si>
  <si>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</si>
  <si>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</si>
  <si>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</si>
  <si>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</si>
  <si>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</si>
  <si>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</si>
  <si>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</si>
  <si>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</si>
  <si>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</si>
  <si>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</si>
  <si>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</si>
  <si>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</si>
  <si>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</si>
  <si>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</si>
  <si>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</si>
  <si>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</si>
  <si>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</si>
  <si>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</si>
  <si>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</si>
  <si>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</si>
  <si>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</si>
  <si>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</si>
  <si>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</si>
  <si>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</si>
  <si>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</si>
  <si>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</si>
  <si>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</si>
  <si>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</si>
  <si>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</si>
  <si>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</si>
  <si>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</si>
  <si>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</si>
  <si>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</si>
  <si>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</si>
  <si>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</si>
  <si>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</si>
  <si>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</si>
  <si>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</si>
  <si>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</si>
  <si>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</si>
  <si>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</si>
  <si>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</si>
  <si>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</si>
  <si>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</si>
  <si>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</si>
  <si>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</si>
  <si>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</si>
  <si>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</si>
  <si>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</si>
  <si>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</si>
  <si>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</si>
  <si>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</si>
  <si>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</si>
  <si>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</si>
  <si>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</si>
  <si>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</si>
  <si>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</si>
  <si>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</si>
  <si>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</si>
  <si>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</si>
  <si>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</si>
  <si>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</si>
  <si>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</si>
  <si>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</si>
  <si>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</si>
  <si>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</si>
  <si>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</si>
  <si>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</si>
  <si>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</si>
  <si>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</si>
  <si>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</si>
  <si>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</si>
  <si>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</si>
  <si>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</si>
  <si>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</si>
  <si>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</si>
  <si>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</si>
  <si>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</si>
  <si>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</si>
  <si>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</si>
  <si>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</si>
  <si>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</si>
  <si>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</si>
  <si>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</si>
  <si>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</si>
  <si>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</si>
  <si>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</si>
  <si>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</si>
  <si>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</si>
  <si>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</si>
  <si>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</si>
  <si>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</si>
  <si>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</si>
  <si>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</si>
  <si>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</si>
  <si>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</si>
  <si>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</si>
  <si>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</si>
  <si>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</si>
  <si>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</si>
  <si>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</si>
  <si>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</si>
  <si>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</si>
  <si>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</si>
  <si>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</si>
  <si>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</si>
  <si>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</si>
  <si>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</si>
  <si>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</si>
  <si>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</si>
  <si>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</si>
  <si>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</si>
  <si>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</si>
  <si>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</si>
  <si>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</si>
  <si>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</si>
  <si>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</si>
  <si>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</si>
  <si>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</si>
  <si>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</si>
  <si>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</si>
  <si>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</si>
  <si>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</si>
  <si>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</si>
  <si>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</si>
  <si>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</si>
  <si>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</si>
  <si>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</si>
  <si>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</si>
  <si>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</si>
  <si>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</si>
  <si>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</si>
  <si>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</si>
  <si>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</si>
  <si>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</si>
  <si>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</si>
  <si>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</si>
  <si>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</si>
  <si>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</si>
  <si>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</si>
  <si>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</si>
  <si>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</si>
  <si>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</si>
  <si>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</si>
  <si>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</si>
  <si>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</si>
  <si>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</si>
  <si>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</si>
  <si>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</si>
  <si>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</si>
  <si>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</si>
  <si>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</si>
  <si>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</si>
  <si>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</si>
  <si>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</si>
  <si>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</si>
  <si>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</si>
  <si>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</si>
  <si>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</si>
  <si>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</si>
  <si>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</si>
  <si>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</si>
  <si>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</si>
  <si>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</si>
  <si>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</si>
  <si>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</si>
  <si>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</si>
  <si>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</si>
  <si>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</si>
  <si>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</si>
  <si>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</si>
  <si>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</si>
  <si>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</si>
  <si>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</si>
  <si>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</si>
  <si>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</si>
  <si>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</si>
  <si>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</si>
  <si>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</si>
  <si>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</si>
  <si>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</si>
  <si>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</si>
  <si>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</si>
  <si>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</si>
  <si>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</si>
  <si>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</si>
  <si>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</si>
  <si>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</si>
  <si>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</si>
  <si>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</si>
  <si>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</si>
  <si>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</si>
  <si>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</si>
  <si>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</si>
  <si>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</si>
  <si>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</si>
  <si>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</si>
  <si>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</si>
  <si>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</si>
  <si>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</si>
  <si>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</si>
  <si>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</si>
  <si>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</si>
  <si>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</si>
  <si>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</si>
  <si>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</si>
  <si>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</si>
  <si>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</si>
  <si>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</si>
  <si>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</si>
  <si>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</si>
  <si>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</si>
  <si>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</si>
  <si>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</si>
  <si>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</si>
  <si>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</si>
  <si>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</si>
  <si>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</si>
  <si>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</si>
  <si>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</si>
  <si>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</si>
  <si>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</si>
  <si>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</si>
  <si>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</si>
  <si>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</si>
  <si>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</si>
  <si>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</si>
  <si>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</si>
  <si>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</si>
  <si>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</si>
  <si>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</si>
  <si>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</si>
  <si>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</si>
  <si>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</si>
  <si>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</si>
  <si>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</si>
  <si>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</si>
  <si>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</si>
  <si>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</si>
  <si>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</si>
  <si>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</si>
  <si>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</si>
  <si>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</si>
  <si>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</si>
  <si>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</si>
  <si>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</si>
  <si>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</si>
  <si>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</si>
  <si>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</si>
  <si>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</si>
  <si>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</si>
  <si>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</si>
  <si>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</si>
  <si>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</si>
  <si>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</si>
  <si>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</si>
  <si>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</si>
  <si>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</si>
  <si>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</si>
  <si>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</si>
  <si>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</si>
  <si>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</si>
  <si>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</si>
  <si>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</si>
  <si>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</si>
  <si>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</si>
  <si>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</si>
  <si>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</si>
  <si>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4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</si>
  <si>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</si>
  <si>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4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</si>
  <si>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</si>
  <si>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</si>
  <si>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</si>
  <si>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</si>
  <si>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4" type="noConversion"/>
  </si>
  <si>
    <t>Longitude:</t>
    <phoneticPr fontId="14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</si>
  <si>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</si>
  <si>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</si>
  <si>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</si>
  <si>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</si>
  <si>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</si>
  <si>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</si>
  <si>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</si>
  <si>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4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</si>
  <si>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</si>
  <si>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</si>
  <si>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</si>
  <si>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</si>
  <si>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</si>
  <si>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4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</si>
  <si>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</si>
  <si>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</si>
  <si>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</si>
  <si>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</si>
  <si>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</si>
  <si>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</si>
  <si>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</si>
  <si>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</si>
  <si>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</si>
  <si>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</si>
  <si>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</si>
  <si>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</si>
  <si>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</si>
  <si>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</si>
  <si>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</si>
  <si>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</si>
  <si>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</si>
  <si>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</si>
  <si>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</si>
  <si>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</si>
  <si>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</si>
  <si>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</si>
  <si>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</si>
  <si>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</si>
  <si>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</si>
  <si>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</si>
  <si>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</si>
  <si>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</si>
  <si>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</si>
  <si>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</si>
  <si>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</si>
  <si>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</si>
  <si>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</si>
  <si>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</si>
  <si>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</si>
  <si>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</si>
  <si>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</si>
  <si>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</si>
  <si>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</si>
  <si>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</si>
  <si>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</si>
  <si>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</si>
  <si>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</si>
  <si>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</si>
  <si>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</si>
  <si>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</si>
  <si>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</si>
  <si>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</si>
  <si>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</si>
  <si>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</si>
  <si>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</si>
  <si>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</si>
  <si>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</si>
  <si>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</si>
  <si>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</si>
  <si>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</si>
  <si>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</si>
  <si>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</si>
  <si>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</si>
  <si>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</si>
  <si>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</si>
  <si>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</si>
  <si>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</si>
  <si>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</si>
  <si>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</si>
  <si>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</si>
  <si>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</si>
  <si>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</si>
  <si>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LHHL 4</t>
  </si>
  <si>
    <t>Exotic honeysuckle spp.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</si>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</sst>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7" fillId="0" borderId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9" applyNumberFormat="0" applyAlignment="0" applyProtection="0"/>
    <xf numFmtId="0" fontId="30" fillId="6" borderId="20" applyNumberFormat="0" applyAlignment="0" applyProtection="0"/>
    <xf numFmtId="0" fontId="31" fillId="6" borderId="19" applyNumberFormat="0" applyAlignment="0" applyProtection="0"/>
    <xf numFmtId="0" fontId="32" fillId="0" borderId="21" applyNumberFormat="0" applyFill="0" applyAlignment="0" applyProtection="0"/>
    <xf numFmtId="0" fontId="33" fillId="7" borderId="22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4" applyNumberFormat="0" applyFill="0" applyAlignment="0" applyProtection="0"/>
    <xf numFmtId="0" fontId="3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39" fillId="0" borderId="0"/>
    <xf numFmtId="0" fontId="17" fillId="0" borderId="0"/>
    <xf numFmtId="0" fontId="11" fillId="0" borderId="0"/>
    <xf numFmtId="0" fontId="11" fillId="8" borderId="23" applyNumberFormat="0" applyFont="0" applyAlignment="0" applyProtection="0"/>
    <xf numFmtId="0" fontId="10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44" fillId="0" borderId="0"/>
    <xf numFmtId="0" fontId="10" fillId="0" borderId="0"/>
    <xf numFmtId="0" fontId="10" fillId="8" borderId="23" applyNumberFormat="0" applyFont="0" applyAlignment="0" applyProtection="0"/>
    <xf numFmtId="0" fontId="17" fillId="0" borderId="0"/>
  </cellStyleXfs>
  <cellXfs count="155">
    <xf numFmtId="0" fontId="0" fillId="0" borderId="0" xfId="0"/>
    <xf numFmtId="0" fontId="12" fillId="0" borderId="0" xfId="0" applyFont="1"/>
    <xf numFmtId="0" fontId="15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3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7" fillId="0" borderId="0" xfId="0" applyFont="1"/>
    <xf numFmtId="0" fontId="17" fillId="0" borderId="0" xfId="1"/>
    <xf numFmtId="0" fontId="16" fillId="0" borderId="0" xfId="1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7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3" fillId="0" borderId="0" xfId="0" applyFont="1" applyFill="1" applyBorder="1" applyAlignment="1">
      <alignment horizontal="center"/>
    </xf>
    <xf numFmtId="14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vertical="center"/>
    </xf>
    <xf numFmtId="0" fontId="17" fillId="0" borderId="0" xfId="0" applyFont="1" applyAlignment="1"/>
    <xf numFmtId="0" fontId="0" fillId="0" borderId="0" xfId="0" applyBorder="1"/>
    <xf numFmtId="0" fontId="12" fillId="0" borderId="15" xfId="0" applyFont="1" applyBorder="1"/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0" applyFont="1" applyFill="1" applyBorder="1"/>
    <xf numFmtId="0" fontId="38" fillId="0" borderId="25" xfId="0" applyNumberFormat="1" applyFont="1" applyBorder="1"/>
    <xf numFmtId="0" fontId="39" fillId="0" borderId="0" xfId="0" applyFont="1" applyFill="1"/>
    <xf numFmtId="0" fontId="0" fillId="0" borderId="0" xfId="0" quotePrefix="1" applyNumberFormat="1"/>
    <xf numFmtId="0" fontId="39" fillId="0" borderId="0" xfId="0" quotePrefix="1" applyNumberFormat="1" applyFont="1"/>
    <xf numFmtId="0" fontId="0" fillId="0" borderId="0" xfId="0" applyNumberFormat="1"/>
    <xf numFmtId="0" fontId="39" fillId="0" borderId="0" xfId="0" applyFont="1"/>
    <xf numFmtId="0" fontId="39" fillId="0" borderId="0" xfId="0" quotePrefix="1" applyNumberFormat="1" applyFont="1" applyFill="1"/>
    <xf numFmtId="0" fontId="40" fillId="0" borderId="0" xfId="0" applyFont="1"/>
    <xf numFmtId="0" fontId="12" fillId="0" borderId="15" xfId="1" applyFont="1" applyFill="1" applyBorder="1"/>
    <xf numFmtId="0" fontId="17" fillId="0" borderId="0" xfId="0" applyFont="1" applyAlignment="1">
      <alignment vertical="center"/>
    </xf>
    <xf numFmtId="0" fontId="0" fillId="0" borderId="15" xfId="0" applyBorder="1"/>
    <xf numFmtId="0" fontId="17" fillId="0" borderId="0" xfId="1"/>
    <xf numFmtId="0" fontId="17" fillId="0" borderId="0" xfId="1" applyFont="1"/>
    <xf numFmtId="0" fontId="12" fillId="0" borderId="0" xfId="1" applyFont="1"/>
    <xf numFmtId="0" fontId="12" fillId="0" borderId="15" xfId="1" applyFont="1" applyBorder="1"/>
    <xf numFmtId="0" fontId="17" fillId="0" borderId="0" xfId="1" applyBorder="1"/>
    <xf numFmtId="0" fontId="12" fillId="0" borderId="0" xfId="1" applyFont="1" applyFill="1"/>
    <xf numFmtId="0" fontId="42" fillId="0" borderId="26" xfId="0" applyFont="1" applyBorder="1"/>
    <xf numFmtId="0" fontId="42" fillId="0" borderId="25" xfId="0" applyFont="1" applyBorder="1"/>
    <xf numFmtId="0" fontId="42" fillId="0" borderId="27" xfId="0" applyFont="1" applyBorder="1"/>
    <xf numFmtId="0" fontId="41" fillId="0" borderId="28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39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0" fillId="0" borderId="0" xfId="46"/>
    <xf numFmtId="0" fontId="39" fillId="0" borderId="0" xfId="59" applyFont="1" applyFill="1"/>
    <xf numFmtId="0" fontId="17" fillId="0" borderId="15" xfId="0" applyFont="1" applyBorder="1" applyAlignment="1">
      <alignment vertical="center"/>
    </xf>
    <xf numFmtId="0" fontId="17" fillId="0" borderId="30" xfId="1" applyBorder="1"/>
    <xf numFmtId="0" fontId="17" fillId="0" borderId="15" xfId="1" applyFont="1" applyBorder="1"/>
    <xf numFmtId="0" fontId="17" fillId="0" borderId="0" xfId="0" applyFont="1"/>
    <xf numFmtId="0" fontId="12" fillId="0" borderId="0" xfId="0" applyFont="1"/>
    <xf numFmtId="0" fontId="0" fillId="0" borderId="0" xfId="0"/>
    <xf numFmtId="0" fontId="0" fillId="0" borderId="0" xfId="0"/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18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7" fillId="0" borderId="0" xfId="1" applyNumberFormat="1" applyFont="1"/>
    <xf numFmtId="0" fontId="17" fillId="0" borderId="0" xfId="1" applyBorder="1"/>
    <xf numFmtId="0" fontId="12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2" fillId="0" borderId="0" xfId="1" applyFont="1" applyFill="1"/>
    <xf numFmtId="0" fontId="0" fillId="0" borderId="0" xfId="0"/>
    <xf numFmtId="0" fontId="12" fillId="0" borderId="0" xfId="1" applyFont="1"/>
    <xf numFmtId="0" fontId="0" fillId="0" borderId="0" xfId="0"/>
    <xf numFmtId="0" fontId="12" fillId="0" borderId="0" xfId="1" applyFont="1"/>
    <xf numFmtId="0" fontId="17" fillId="0" borderId="0" xfId="1" applyFont="1" applyFill="1"/>
    <xf numFmtId="0" fontId="17" fillId="34" borderId="0" xfId="1" applyFill="1" applyBorder="1"/>
    <xf numFmtId="0" fontId="17" fillId="34" borderId="0" xfId="0" applyFont="1" applyFill="1"/>
    <xf numFmtId="0" fontId="17" fillId="34" borderId="15" xfId="0" applyFont="1" applyFill="1" applyBorder="1"/>
    <xf numFmtId="2" fontId="17" fillId="0" borderId="26" xfId="0" applyNumberFormat="1" applyFont="1" applyBorder="1"/>
    <xf numFmtId="2" fontId="17" fillId="0" borderId="32" xfId="0" applyNumberFormat="1" applyFont="1" applyBorder="1" applyAlignment="1">
      <alignment horizontal="center"/>
    </xf>
    <xf numFmtId="2" fontId="17" fillId="0" borderId="25" xfId="0" applyNumberFormat="1" applyFont="1" applyBorder="1"/>
    <xf numFmtId="2" fontId="17" fillId="0" borderId="27" xfId="0" applyNumberFormat="1" applyFont="1" applyBorder="1"/>
    <xf numFmtId="0" fontId="0" fillId="0" borderId="0" xfId="0"/>
    <xf numFmtId="0" fontId="17" fillId="35" borderId="0" xfId="0" applyFont="1" applyFill="1" applyAlignment="1">
      <alignment vertical="center"/>
    </xf>
    <xf numFmtId="0" fontId="17" fillId="35" borderId="0" xfId="1" applyFont="1" applyFill="1"/>
    <xf numFmtId="2" fontId="17" fillId="0" borderId="25" xfId="0" applyNumberFormat="1" applyFont="1" applyFill="1" applyBorder="1"/>
    <xf numFmtId="2" fontId="17" fillId="36" borderId="25" xfId="0" applyNumberFormat="1" applyFont="1" applyFill="1" applyBorder="1"/>
    <xf numFmtId="2" fontId="17" fillId="36" borderId="27" xfId="0" applyNumberFormat="1" applyFont="1" applyFill="1" applyBorder="1"/>
    <xf numFmtId="0" fontId="17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9" fillId="0" borderId="0" xfId="46" applyFont="1"/>
    <xf numFmtId="0" fontId="0" fillId="0" borderId="0" xfId="0"/>
    <xf numFmtId="0" fontId="0" fillId="0" borderId="0" xfId="0"/>
    <xf numFmtId="0" fontId="8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17" fillId="0" borderId="0" xfId="0" quotePrefix="1" applyNumberFormat="1" applyFont="1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1" fillId="0" borderId="0" xfId="46" applyFont="1"/>
    <xf numFmtId="0" fontId="0" fillId="0" borderId="0" xfId="0" applyNumberFormat="1" applyFont="1"/>
    <xf numFmtId="0" fontId="46" fillId="0" borderId="33" xfId="0" applyFont="1" applyBorder="1"/>
    <xf numFmtId="0" fontId="46" fillId="0" borderId="33" xfId="0" applyFont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2" fillId="0" borderId="10" xfId="0" applyFont="1" applyBorder="1" applyAlignment="1">
      <alignment horizontal="center"/>
    </xf>
    <xf numFmtId="0" fontId="12" fillId="0" borderId="0" xfId="1" applyFont="1" applyFill="1"/>
    <xf numFmtId="0" fontId="0" fillId="0" borderId="0" xfId="0"/>
    <xf numFmtId="0" fontId="12" fillId="0" borderId="0" xfId="1" applyFont="1"/>
    <xf numFmtId="0" fontId="16" fillId="0" borderId="0" xfId="1" applyFont="1"/>
    <xf numFmtId="0" fontId="19" fillId="0" borderId="0" xfId="1" applyFont="1" applyAlignment="1">
      <alignment horizontal="center"/>
    </xf>
    <xf numFmtId="0" fontId="17" fillId="0" borderId="0" xfId="1" applyFont="1" applyFill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41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1" t="s">
        <v>57</v>
      </c>
      <c r="B2" s="141"/>
      <c r="C2" s="141"/>
      <c r="D2" s="141"/>
      <c r="E2" s="141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44063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5360</v>
      </c>
      <c r="B12" s="65" t="s">
        <v>5361</v>
      </c>
      <c r="C12" s="65"/>
      <c r="D12" s="65"/>
      <c r="E12" s="65"/>
    </row>
    <row r="13" spans="1:5" x14ac:dyDescent="0.2">
      <c r="A13" s="69" t="s">
        <v>5362</v>
      </c>
      <c r="B13" s="65"/>
      <c r="C13" s="65"/>
      <c r="D13" s="65"/>
      <c r="E13" s="65"/>
    </row>
    <row r="14" spans="1:5" x14ac:dyDescent="0.2">
      <c r="A14" s="69" t="s">
        <v>5363</v>
      </c>
      <c r="B14" s="65"/>
      <c r="C14" s="65"/>
      <c r="D14" s="65"/>
      <c r="E14" s="65"/>
    </row>
    <row r="15" spans="1:5" x14ac:dyDescent="0.2">
      <c r="A15" s="69" t="s">
        <v>5364</v>
      </c>
      <c r="B15" s="28"/>
      <c r="C15" s="67"/>
      <c r="D15" s="28"/>
      <c r="E15" s="28"/>
    </row>
    <row r="16" spans="1:5" x14ac:dyDescent="0.2">
      <c r="A16" s="69" t="s">
        <v>5365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5366</v>
      </c>
      <c r="B18" s="65"/>
      <c r="C18" s="67"/>
      <c r="D18" s="65"/>
      <c r="E18" s="65"/>
    </row>
    <row r="19" spans="1:5" x14ac:dyDescent="0.2">
      <c r="A19" s="69" t="s">
        <v>5367</v>
      </c>
      <c r="B19" s="70"/>
      <c r="C19" s="65"/>
      <c r="D19" s="65"/>
      <c r="E19" s="65"/>
    </row>
    <row r="20" spans="1:5" x14ac:dyDescent="0.2">
      <c r="A20" s="25" t="s">
        <v>5368</v>
      </c>
      <c r="B20" s="65"/>
      <c r="C20" s="67"/>
      <c r="D20" s="65"/>
      <c r="E20" s="65"/>
    </row>
    <row r="21" spans="1:5" x14ac:dyDescent="0.2">
      <c r="A21" s="25" t="s">
        <v>5369</v>
      </c>
      <c r="B21" s="28"/>
      <c r="C21" s="28"/>
      <c r="D21" s="28"/>
      <c r="E21" s="28"/>
    </row>
    <row r="22" spans="1:5" x14ac:dyDescent="0.2">
      <c r="A22" s="143" t="s">
        <v>5370</v>
      </c>
      <c r="B22" s="143"/>
      <c r="C22" s="143"/>
      <c r="D22" s="143"/>
      <c r="E22" s="143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2" t="s">
        <v>5371</v>
      </c>
      <c r="B24" s="142"/>
      <c r="C24" s="142"/>
      <c r="D24" s="142"/>
      <c r="E24" s="142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5374</v>
      </c>
      <c r="B38" s="66"/>
      <c r="C38" s="65"/>
      <c r="D38" s="65"/>
      <c r="E38" s="65"/>
    </row>
    <row r="39" spans="1:5" ht="14.25" x14ac:dyDescent="0.2">
      <c r="A39" s="142" t="s">
        <v>61</v>
      </c>
      <c r="B39" s="142"/>
      <c r="C39" s="142"/>
      <c r="D39" s="142"/>
      <c r="E39" s="142"/>
    </row>
    <row r="40" spans="1:5" x14ac:dyDescent="0.2">
      <c r="A40" s="69" t="s">
        <v>5375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5376</v>
      </c>
      <c r="B44" s="70"/>
      <c r="C44" s="70"/>
      <c r="D44" s="70"/>
      <c r="E44" s="70"/>
    </row>
    <row r="45" spans="1:5" ht="12" customHeight="1" x14ac:dyDescent="0.2">
      <c r="A45" s="142" t="s">
        <v>62</v>
      </c>
      <c r="B45" s="142"/>
      <c r="C45" s="142"/>
      <c r="D45" s="142"/>
      <c r="E45" s="142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5381</v>
      </c>
      <c r="B75" s="65" t="s">
        <v>5382</v>
      </c>
      <c r="C75" s="65"/>
      <c r="D75" s="65"/>
      <c r="E75" s="65"/>
    </row>
    <row r="76" spans="1:5" x14ac:dyDescent="0.2">
      <c r="A76" s="69" t="s">
        <v>5383</v>
      </c>
      <c r="B76" s="65" t="s">
        <v>5382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5384</v>
      </c>
      <c r="B79" s="65" t="s">
        <v>5385</v>
      </c>
      <c r="C79" s="65"/>
      <c r="D79" s="65"/>
      <c r="E79" s="65"/>
    </row>
    <row r="80" spans="1:5" x14ac:dyDescent="0.2">
      <c r="A80" s="69" t="s">
        <v>5386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7" t="s">
        <v>43</v>
      </c>
      <c r="B93" s="138"/>
      <c r="C93" s="140"/>
      <c r="D93" s="144" t="s">
        <v>44</v>
      </c>
      <c r="E93" s="139"/>
    </row>
    <row r="94" spans="1:5" x14ac:dyDescent="0.2">
      <c r="A94" s="73" t="s">
        <v>23</v>
      </c>
      <c r="B94" s="135" t="s">
        <v>30</v>
      </c>
      <c r="C94" s="136"/>
      <c r="D94" s="3" t="s">
        <v>46</v>
      </c>
      <c r="E94" s="9">
        <v>8</v>
      </c>
    </row>
    <row r="95" spans="1:5" x14ac:dyDescent="0.2">
      <c r="A95" s="73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73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73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73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73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73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73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3" t="s">
        <v>38</v>
      </c>
      <c r="C102" s="134"/>
      <c r="D102" s="5"/>
      <c r="E102" s="8"/>
    </row>
    <row r="103" spans="1:5" ht="13.5" thickBot="1" x14ac:dyDescent="0.25">
      <c r="A103" s="137" t="s">
        <v>68</v>
      </c>
      <c r="B103" s="138"/>
      <c r="C103" s="140"/>
      <c r="D103" s="144" t="s">
        <v>45</v>
      </c>
      <c r="E103" s="139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7" t="s">
        <v>21</v>
      </c>
      <c r="B112" s="138"/>
      <c r="C112" s="139"/>
    </row>
    <row r="113" spans="1:3" x14ac:dyDescent="0.2">
      <c r="A113" s="73">
        <v>1</v>
      </c>
      <c r="B113" s="135" t="s">
        <v>40</v>
      </c>
      <c r="C113" s="136"/>
    </row>
    <row r="114" spans="1:3" x14ac:dyDescent="0.2">
      <c r="A114" s="73" t="s">
        <v>39</v>
      </c>
      <c r="B114" s="131" t="s">
        <v>41</v>
      </c>
      <c r="C114" s="132"/>
    </row>
    <row r="115" spans="1:3" x14ac:dyDescent="0.2">
      <c r="A115" s="74" t="s">
        <v>15</v>
      </c>
      <c r="B115" s="129" t="s">
        <v>42</v>
      </c>
      <c r="C115" s="130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4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1" t="s">
        <v>127</v>
      </c>
      <c r="B1" s="141"/>
      <c r="C1" s="141"/>
      <c r="D1" s="141"/>
      <c r="E1" s="141"/>
      <c r="F1" s="141"/>
      <c r="G1" s="141"/>
      <c r="H1" s="14"/>
    </row>
    <row r="2" spans="1:14" x14ac:dyDescent="0.2">
      <c r="A2" s="147" t="s">
        <v>138</v>
      </c>
      <c r="B2" s="147"/>
      <c r="C2" s="15"/>
      <c r="D2" s="15"/>
      <c r="E2" s="15"/>
      <c r="F2" s="15"/>
      <c r="G2" s="15"/>
      <c r="H2" s="15"/>
    </row>
    <row r="3" spans="1:14" x14ac:dyDescent="0.2">
      <c r="A3" s="148" t="s">
        <v>52</v>
      </c>
      <c r="B3" s="148"/>
      <c r="C3" s="15"/>
      <c r="D3" s="15"/>
      <c r="E3" s="15"/>
      <c r="F3" s="15"/>
      <c r="G3" s="15"/>
      <c r="H3" s="15"/>
    </row>
    <row r="4" spans="1:14" x14ac:dyDescent="0.2">
      <c r="A4" s="148" t="s">
        <v>55</v>
      </c>
      <c r="B4" s="148"/>
      <c r="C4" s="15"/>
      <c r="D4" s="15"/>
      <c r="E4" s="15"/>
      <c r="F4" s="15"/>
      <c r="G4" s="15"/>
      <c r="H4" s="15"/>
    </row>
    <row r="5" spans="1:14" x14ac:dyDescent="0.2">
      <c r="A5" s="148" t="s">
        <v>51</v>
      </c>
      <c r="B5" s="148"/>
      <c r="C5" s="15"/>
      <c r="D5" s="15"/>
      <c r="E5" s="15"/>
      <c r="F5" s="15"/>
      <c r="G5" s="15"/>
      <c r="H5" s="15"/>
    </row>
    <row r="6" spans="1:14" x14ac:dyDescent="0.2">
      <c r="A6" s="145" t="s">
        <v>128</v>
      </c>
      <c r="B6" s="145"/>
    </row>
    <row r="7" spans="1:14" x14ac:dyDescent="0.2">
      <c r="A7" s="145" t="s">
        <v>129</v>
      </c>
      <c r="B7" s="145"/>
      <c r="C7" s="146"/>
      <c r="D7" s="146"/>
      <c r="E7" s="146"/>
      <c r="F7" s="146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289" zoomScale="70" zoomScaleNormal="70" workbookViewId="0">
      <selection activeCell="B2296" sqref="B229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5389</v>
      </c>
      <c r="I2" s="42" t="s">
        <v>4820</v>
      </c>
      <c r="J2" s="42">
        <v>0.5</v>
      </c>
      <c r="K2" s="42"/>
      <c r="L2" s="42"/>
      <c r="M2" s="42"/>
      <c r="N2" s="13" t="s">
        <v>5358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5387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18" t="s">
        <v>5424</v>
      </c>
      <c r="B24" s="31" t="s">
        <v>5353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25" t="s">
        <v>5453</v>
      </c>
      <c r="B36" s="31" t="s">
        <v>5354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5438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1" t="s">
        <v>5436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25" t="s">
        <v>5454</v>
      </c>
      <c r="C312" s="39">
        <v>1</v>
      </c>
      <c r="D312" s="113" t="s">
        <v>149</v>
      </c>
      <c r="E312" s="126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5412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5433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5406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5359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2" customFormat="1" x14ac:dyDescent="0.2">
      <c r="A822" s="36" t="s">
        <v>5418</v>
      </c>
      <c r="B822" s="113" t="s">
        <v>2316</v>
      </c>
      <c r="C822" s="37">
        <v>6</v>
      </c>
      <c r="D822" s="113" t="s">
        <v>149</v>
      </c>
      <c r="E822" s="115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5355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5442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5441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4931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4932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4933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4934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4935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4936</v>
      </c>
      <c r="C966" s="32"/>
      <c r="E966" s="32"/>
      <c r="F966" s="32"/>
    </row>
    <row r="967" spans="1:7" ht="15" x14ac:dyDescent="0.25">
      <c r="A967" s="60" t="s">
        <v>4937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4938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4939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1" customFormat="1" x14ac:dyDescent="0.2">
      <c r="A984" s="36" t="s">
        <v>5416</v>
      </c>
      <c r="B984" s="113" t="s">
        <v>5417</v>
      </c>
      <c r="C984" s="39">
        <v>7</v>
      </c>
      <c r="D984" s="113" t="s">
        <v>149</v>
      </c>
      <c r="E984" s="114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4940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4941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4942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4943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4944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4945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4946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4947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4948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4949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4950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4951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4952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4953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4954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4955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5407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4956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4957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4958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4959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4960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4961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4962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4963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4964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4965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4966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4967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4968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4969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4970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4971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4972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4973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4974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0" t="s">
        <v>5429</v>
      </c>
      <c r="B1289" s="31" t="s">
        <v>5430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4975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4976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4977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4978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4979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4980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23" t="s">
        <v>5443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4981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4982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4983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4984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4985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4986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4987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4988</v>
      </c>
      <c r="C1370" s="32"/>
      <c r="E1370" s="32"/>
      <c r="F1370" s="32"/>
    </row>
    <row r="1371" spans="1:10" ht="15" x14ac:dyDescent="0.25">
      <c r="A1371" s="60" t="s">
        <v>4989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4990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4991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4992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4993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4994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4995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4996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4997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4998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4999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5000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5001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5002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5444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5445</v>
      </c>
    </row>
    <row r="1440" spans="1:8" ht="15" x14ac:dyDescent="0.25">
      <c r="A1440" s="60" t="s">
        <v>5003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5004</v>
      </c>
      <c r="C1442" s="32"/>
      <c r="E1442" s="32"/>
      <c r="F1442" s="32"/>
    </row>
    <row r="1443" spans="1:7" ht="15" x14ac:dyDescent="0.25">
      <c r="A1443" s="60" t="s">
        <v>5005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18" t="s">
        <v>5422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5006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5007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5008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25" t="s">
        <v>5452</v>
      </c>
      <c r="C1456" s="39">
        <v>4</v>
      </c>
      <c r="D1456" s="113" t="s">
        <v>149</v>
      </c>
      <c r="E1456" s="113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5009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5010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5011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5012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5013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5014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5015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5016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5017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5018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5019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23" t="s">
        <v>5446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5020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5021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5022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5023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5024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5025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5026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5027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5028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5029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5030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5031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5032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5033</v>
      </c>
      <c r="C1572" s="32"/>
      <c r="E1572" s="32"/>
      <c r="F1572" s="32"/>
    </row>
    <row r="1573" spans="1:7" ht="15" x14ac:dyDescent="0.25">
      <c r="A1573" s="60" t="s">
        <v>5034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5035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5036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5037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5038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5039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5040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5041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5042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5043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5044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5045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5046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5047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5048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5049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5050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5051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5052</v>
      </c>
      <c r="D1644" s="32"/>
    </row>
    <row r="1645" spans="1:6" s="106" customFormat="1" ht="15" x14ac:dyDescent="0.25">
      <c r="A1645" s="107" t="s">
        <v>5409</v>
      </c>
      <c r="C1645" s="106">
        <v>0</v>
      </c>
      <c r="D1645" s="106" t="s">
        <v>157</v>
      </c>
      <c r="E1645" s="106" t="s">
        <v>152</v>
      </c>
    </row>
    <row r="1646" spans="1:6" s="117" customFormat="1" ht="15" x14ac:dyDescent="0.25">
      <c r="A1646" s="120" t="s">
        <v>5426</v>
      </c>
      <c r="C1646" s="117">
        <v>0</v>
      </c>
      <c r="D1646" s="117" t="s">
        <v>157</v>
      </c>
      <c r="E1646" s="117" t="s">
        <v>152</v>
      </c>
    </row>
    <row r="1647" spans="1:6" s="117" customFormat="1" ht="15" x14ac:dyDescent="0.25">
      <c r="A1647" s="120" t="s">
        <v>5427</v>
      </c>
      <c r="C1647" s="117">
        <v>0</v>
      </c>
      <c r="D1647" s="117" t="s">
        <v>157</v>
      </c>
      <c r="E1647" s="117" t="s">
        <v>152</v>
      </c>
    </row>
    <row r="1648" spans="1:6" s="117" customFormat="1" ht="15" x14ac:dyDescent="0.25">
      <c r="A1648" s="120" t="s">
        <v>5428</v>
      </c>
      <c r="C1648" s="117">
        <v>0</v>
      </c>
      <c r="D1648" s="117" t="s">
        <v>157</v>
      </c>
      <c r="E1648" s="117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5053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5054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5055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5056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5057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5058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5059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5060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5061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5062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5063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5064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5065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5066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5067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5068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5069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5070</v>
      </c>
      <c r="C1730" s="32"/>
      <c r="E1730" s="32"/>
      <c r="F1730" s="32"/>
    </row>
    <row r="1731" spans="1:7" ht="15" x14ac:dyDescent="0.25">
      <c r="A1731" s="60" t="s">
        <v>5071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5072</v>
      </c>
      <c r="C1735" s="32"/>
      <c r="E1735" s="32"/>
      <c r="F1735" s="32"/>
    </row>
    <row r="1736" spans="1:7" ht="15" x14ac:dyDescent="0.25">
      <c r="A1736" s="60" t="s">
        <v>5073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5074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5075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5076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2" t="s">
        <v>5437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5077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5078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5079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5080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5081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5082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5083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5084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5085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5086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5087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5088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5089</v>
      </c>
      <c r="C1793" s="32"/>
      <c r="E1793" s="32"/>
      <c r="F1793" s="32"/>
    </row>
    <row r="1794" spans="1:7" ht="15" x14ac:dyDescent="0.25">
      <c r="A1794" s="60" t="s">
        <v>5090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5091</v>
      </c>
      <c r="C1801" s="32"/>
      <c r="E1801" s="32"/>
      <c r="F1801" s="32"/>
    </row>
    <row r="1802" spans="1:7" ht="15" x14ac:dyDescent="0.25">
      <c r="A1802" s="60" t="s">
        <v>5092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5093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5094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5095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5096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5097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5098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5099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5100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5101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5102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5103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5104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5105</v>
      </c>
      <c r="C1858" s="32"/>
      <c r="E1858" s="32"/>
      <c r="F1858" s="32"/>
    </row>
    <row r="1859" spans="1:7" ht="15" x14ac:dyDescent="0.25">
      <c r="A1859" s="60" t="s">
        <v>5106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5107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5108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5109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5110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5111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5112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5113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5114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5115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5116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5117</v>
      </c>
      <c r="C1896" s="32"/>
      <c r="E1896" s="32"/>
      <c r="F1896" s="32"/>
    </row>
    <row r="1897" spans="1:7" x14ac:dyDescent="0.2">
      <c r="A1897" s="36" t="s">
        <v>5447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5118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5119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5120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5121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5122</v>
      </c>
      <c r="C1921" s="32"/>
      <c r="E1921" s="32"/>
      <c r="F1921" s="32"/>
    </row>
    <row r="1922" spans="1:7" ht="15" x14ac:dyDescent="0.25">
      <c r="A1922" s="60" t="s">
        <v>5123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5124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5125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5126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5127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5128</v>
      </c>
      <c r="C1939" s="32"/>
      <c r="E1939" s="32"/>
      <c r="F1939" s="32"/>
    </row>
    <row r="1940" spans="1:7" x14ac:dyDescent="0.2">
      <c r="A1940" s="36" t="s">
        <v>5415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5129</v>
      </c>
      <c r="C1944" s="32"/>
      <c r="E1944" s="32"/>
      <c r="F1944" s="32"/>
    </row>
    <row r="1945" spans="1:7" ht="15" x14ac:dyDescent="0.25">
      <c r="A1945" s="60" t="s">
        <v>5130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5131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5132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5133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5134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5135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5136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5137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5138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5139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5140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18" t="s">
        <v>5425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5402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5141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5142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5143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5144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5145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5146</v>
      </c>
      <c r="C2015" s="32"/>
      <c r="E2015" s="32"/>
      <c r="F2015" s="32"/>
    </row>
    <row r="2016" spans="1:7" ht="15" x14ac:dyDescent="0.25">
      <c r="A2016" s="60" t="s">
        <v>5147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5148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5149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5150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5151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5152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5153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5154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5155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5156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5157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5158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5159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5160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5161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5162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5163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5164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5165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5166</v>
      </c>
      <c r="E2094" s="32"/>
      <c r="F2094" s="32"/>
    </row>
    <row r="2095" spans="1:7" ht="15" x14ac:dyDescent="0.25">
      <c r="A2095" s="60" t="s">
        <v>5167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5168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25" t="s">
        <v>5450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5169</v>
      </c>
      <c r="C2105" s="32"/>
      <c r="E2105" s="32"/>
      <c r="F2105" s="32"/>
    </row>
    <row r="2106" spans="1:7" ht="15" x14ac:dyDescent="0.25">
      <c r="A2106" s="60" t="s">
        <v>5170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5171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5172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5173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5174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5175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5176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5177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5178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5179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5180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5181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5182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5183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5184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5185</v>
      </c>
      <c r="C2212" s="32"/>
      <c r="D2212" s="32"/>
      <c r="E2212" s="32"/>
      <c r="F2212" s="32"/>
    </row>
    <row r="2213" spans="1:7" ht="15" x14ac:dyDescent="0.25">
      <c r="A2213" s="60" t="s">
        <v>5186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5187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5188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5189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5190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5191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5192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5193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5194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5195</v>
      </c>
      <c r="C2286" s="32"/>
      <c r="E2286" s="32"/>
      <c r="F2286" s="32"/>
    </row>
    <row r="2287" spans="1:7" ht="15" x14ac:dyDescent="0.25">
      <c r="A2287" s="60" t="s">
        <v>5196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5197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5198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5199</v>
      </c>
      <c r="C2305" s="32"/>
      <c r="E2305" s="32"/>
      <c r="F2305" s="32"/>
    </row>
    <row r="2306" spans="1:7" ht="15" x14ac:dyDescent="0.25">
      <c r="A2306" s="60" t="s">
        <v>5200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3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5201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5202</v>
      </c>
      <c r="C2313" s="32"/>
      <c r="E2313" s="32"/>
      <c r="F2313" s="32"/>
    </row>
    <row r="2314" spans="1:7" ht="15" x14ac:dyDescent="0.25">
      <c r="A2314" s="60" t="s">
        <v>5203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5204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5205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5206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5207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5208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5209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5210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5211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5212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5213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18" t="s">
        <v>5419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5214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5215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5216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5217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5408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25" t="s">
        <v>5449</v>
      </c>
      <c r="C2444" s="39">
        <v>2</v>
      </c>
      <c r="D2444" s="113" t="s">
        <v>157</v>
      </c>
      <c r="E2444" s="126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5218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5219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5220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5221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5222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5223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5224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5225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5226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5227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18" t="s">
        <v>5420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5228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0" t="s">
        <v>5431</v>
      </c>
      <c r="B2531" s="31" t="s">
        <v>5432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5229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5230</v>
      </c>
    </row>
    <row r="2538" spans="1:7" ht="15" x14ac:dyDescent="0.25">
      <c r="A2538" s="60" t="s">
        <v>5231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5232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5233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5234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5235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5236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5237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5238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5239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5439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5440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5240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5241</v>
      </c>
    </row>
    <row r="2585" spans="1:7" ht="15" x14ac:dyDescent="0.25">
      <c r="A2585" s="60" t="s">
        <v>5242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5243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5244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5245</v>
      </c>
    </row>
    <row r="2600" spans="1:7" s="109" customFormat="1" ht="15" x14ac:dyDescent="0.25">
      <c r="A2600" s="110" t="s">
        <v>5413</v>
      </c>
      <c r="B2600" s="109" t="s">
        <v>5414</v>
      </c>
      <c r="C2600" s="109">
        <v>0</v>
      </c>
      <c r="D2600" s="109" t="s">
        <v>149</v>
      </c>
      <c r="E2600" s="109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5246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5247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5248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5249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5250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5251</v>
      </c>
    </row>
    <row r="2625" spans="1:7" ht="15" x14ac:dyDescent="0.25">
      <c r="A2625" s="60" t="s">
        <v>5252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5253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5254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5255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5256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5257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5258</v>
      </c>
    </row>
    <row r="2662" spans="1:6" ht="15" x14ac:dyDescent="0.25">
      <c r="A2662" s="60" t="s">
        <v>5259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5260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16" customFormat="1" x14ac:dyDescent="0.2">
      <c r="A2674" s="36" t="s">
        <v>5421</v>
      </c>
      <c r="B2674" s="116" t="s">
        <v>4195</v>
      </c>
      <c r="C2674" s="116">
        <v>1</v>
      </c>
      <c r="D2674" s="116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5261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5405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5262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5263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5264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5265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5266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5267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5268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5269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5270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5271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5272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5273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5274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5275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5276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5277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5278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5279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5280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5281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5282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5283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5284</v>
      </c>
    </row>
    <row r="2802" spans="1:7" ht="15" x14ac:dyDescent="0.25">
      <c r="A2802" s="60" t="s">
        <v>5285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5286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25" t="s">
        <v>5451</v>
      </c>
      <c r="C2842" s="39">
        <v>1</v>
      </c>
      <c r="D2842" s="113" t="s">
        <v>149</v>
      </c>
      <c r="E2842" s="126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5287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5288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5289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5290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5291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5292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5293</v>
      </c>
    </row>
    <row r="2862" spans="1:7" ht="15" x14ac:dyDescent="0.25">
      <c r="A2862" s="60" t="s">
        <v>5294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5295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5296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5297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5298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5299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5300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5301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5302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5303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5304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5305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5306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5307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5308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5309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5310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5311</v>
      </c>
    </row>
    <row r="2916" spans="1:7" ht="15" x14ac:dyDescent="0.25">
      <c r="A2916" s="60" t="s">
        <v>5312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5313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5314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5315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5316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5317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5318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5319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5320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5321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5322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5323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5324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5325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5326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5327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5328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5329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5330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5331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5332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5333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5334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5335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5336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5337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5338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5339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5340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08" customFormat="1" x14ac:dyDescent="0.2">
      <c r="A3045" s="36" t="s">
        <v>5410</v>
      </c>
      <c r="B3045" s="108" t="s">
        <v>5411</v>
      </c>
      <c r="C3045" s="37">
        <v>0</v>
      </c>
      <c r="D3045" s="108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18" t="s">
        <v>5423</v>
      </c>
      <c r="C3069" s="39">
        <v>4</v>
      </c>
      <c r="D3069" s="31" t="s">
        <v>149</v>
      </c>
      <c r="E3069" s="39" t="s">
        <v>147</v>
      </c>
    </row>
    <row r="3070" spans="1:7" s="119" customFormat="1" ht="15" x14ac:dyDescent="0.25">
      <c r="A3070" s="121" t="s">
        <v>5434</v>
      </c>
      <c r="C3070" s="39">
        <v>4</v>
      </c>
      <c r="D3070" s="119" t="s">
        <v>149</v>
      </c>
      <c r="E3070" s="39" t="s">
        <v>147</v>
      </c>
    </row>
    <row r="3071" spans="1:7" s="119" customFormat="1" ht="15" x14ac:dyDescent="0.25">
      <c r="A3071" s="121" t="s">
        <v>5435</v>
      </c>
      <c r="C3071" s="39">
        <v>7</v>
      </c>
      <c r="D3071" s="119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5341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5342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5343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5344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5345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5346</v>
      </c>
    </row>
    <row r="3104" spans="1:7" ht="15" x14ac:dyDescent="0.25">
      <c r="A3104" s="60" t="s">
        <v>5347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5348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5349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5350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5351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5352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24" t="s">
        <v>5448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6" t="s">
        <v>138</v>
      </c>
      <c r="B2" s="103" t="s">
        <v>5479</v>
      </c>
      <c r="C2" s="46" t="str">
        <f>CONCATENATE(B2,2024)</f>
        <v>LHHL4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0"/>
      <c r="C7" s="150"/>
      <c r="D7" s="150"/>
      <c r="E7" s="15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7" t="s">
        <v>4757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27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5">
        <f t="shared" ref="N10:N75" si="2">L10/$L$151</f>
        <v>2.2140221402214021E-2</v>
      </c>
      <c r="O10" s="105">
        <f t="shared" ref="O10:O11" si="3">D10*N10</f>
        <v>4.4280442804428041E-2</v>
      </c>
    </row>
    <row r="11" spans="1:15" ht="13.5" thickBot="1" x14ac:dyDescent="0.25">
      <c r="A11" s="128" t="s">
        <v>5425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2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2.2140221402214021E-2</v>
      </c>
      <c r="O11" s="105">
        <f t="shared" si="3"/>
        <v>4.4280442804428041E-2</v>
      </c>
    </row>
    <row r="12" spans="1:15" ht="13.5" thickBot="1" x14ac:dyDescent="0.25">
      <c r="A12" s="127"/>
      <c r="B12" s="44"/>
      <c r="C12" s="44"/>
      <c r="D12" s="98"/>
      <c r="E12" s="44"/>
      <c r="F12" s="44"/>
      <c r="G12" s="44"/>
      <c r="H12" s="44"/>
      <c r="J12" s="127"/>
      <c r="K12" s="47"/>
      <c r="L12" s="47"/>
      <c r="M12" s="99"/>
    </row>
    <row r="13" spans="1:15" ht="13.5" thickBot="1" x14ac:dyDescent="0.25">
      <c r="A13" s="127"/>
      <c r="B13" s="44"/>
      <c r="C13" s="44"/>
      <c r="D13" s="98"/>
      <c r="E13" s="44"/>
      <c r="F13" s="44"/>
      <c r="G13" s="44"/>
      <c r="H13" s="44"/>
      <c r="J13" s="127"/>
      <c r="K13" s="47"/>
      <c r="L13" s="47"/>
      <c r="M13" s="99"/>
      <c r="O13" s="97"/>
    </row>
    <row r="14" spans="1:15" ht="13.5" thickBot="1" x14ac:dyDescent="0.25">
      <c r="A14" s="127" t="s">
        <v>2141</v>
      </c>
      <c r="B14" s="44" t="str">
        <f>IF(LEN(VLOOKUP(A14,'Species List'!$A:$G,2,FALSE))=0,"",VLOOKUP(A14,'Species List'!$A:$G,2,FALSE))</f>
        <v>green ash</v>
      </c>
      <c r="C14" s="44">
        <f>IF(LEN(VLOOKUP(A14,'Species List'!$A:$G,3,FALSE))=0,"",VLOOKUP(A14,'Species List'!$A:$G,3,FALSE))</f>
        <v>2</v>
      </c>
      <c r="D14" s="98">
        <f t="shared" ref="D14:D76" si="4">VALUE(C14)</f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</v>
      </c>
      <c r="H14" s="44">
        <f>VLOOKUP(A14,'Species List'!$A:$G,7,FALSE)</f>
        <v>0</v>
      </c>
      <c r="J14" s="12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ref="M14:M76" si="5">VALUE(L14)</f>
        <v>3</v>
      </c>
      <c r="N14" s="85">
        <f t="shared" si="2"/>
        <v>2.2140221402214021E-2</v>
      </c>
      <c r="O14" s="97">
        <f t="shared" ref="O14:O76" si="6">D14*N14</f>
        <v>4.4280442804428041E-2</v>
      </c>
    </row>
    <row r="15" spans="1:15" ht="13.5" thickBot="1" x14ac:dyDescent="0.25">
      <c r="A15" s="127" t="s">
        <v>5419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7" t="s">
        <v>5387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2.2140221402214021E-2</v>
      </c>
      <c r="O15" s="97">
        <f t="shared" si="6"/>
        <v>6.6420664206642055E-2</v>
      </c>
    </row>
    <row r="16" spans="1:15" ht="13.5" thickBot="1" x14ac:dyDescent="0.25">
      <c r="A16" s="127" t="s">
        <v>655</v>
      </c>
      <c r="B16" s="44" t="str">
        <f>IF(LEN(VLOOKUP(A16,'Species List'!$A:$G,2,FALSE))=0,"",VLOOKUP(A16,'Species List'!$A:$G,2,FALSE))</f>
        <v>paper birch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[FACU+]</v>
      </c>
      <c r="H16" s="44">
        <f>VLOOKUP(A16,'Species List'!$A:$G,7,FALSE)</f>
        <v>0</v>
      </c>
      <c r="J16" s="127" t="s">
        <v>5389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5"/>
        <v>0.5</v>
      </c>
      <c r="N16" s="85">
        <f t="shared" si="2"/>
        <v>3.6900369003690036E-3</v>
      </c>
      <c r="O16" s="97">
        <f t="shared" si="6"/>
        <v>1.107011070110701E-2</v>
      </c>
    </row>
    <row r="17" spans="1:15" ht="13.5" thickBot="1" x14ac:dyDescent="0.25">
      <c r="A17" s="127"/>
      <c r="B17" s="44"/>
      <c r="C17" s="44"/>
      <c r="D17" s="98"/>
      <c r="E17" s="44"/>
      <c r="F17" s="44"/>
      <c r="G17" s="44"/>
      <c r="H17" s="44"/>
      <c r="J17" s="127"/>
      <c r="K17" s="47"/>
      <c r="L17" s="47"/>
      <c r="M17" s="99"/>
      <c r="O17" s="97"/>
    </row>
    <row r="18" spans="1:15" ht="13.5" thickBot="1" x14ac:dyDescent="0.25">
      <c r="A18" s="127"/>
      <c r="B18" s="44"/>
      <c r="C18" s="44"/>
      <c r="D18" s="98"/>
      <c r="E18" s="44"/>
      <c r="F18" s="44"/>
      <c r="G18" s="44"/>
      <c r="H18" s="44"/>
      <c r="J18" s="127"/>
      <c r="K18" s="47"/>
      <c r="L18" s="47"/>
      <c r="M18" s="99"/>
      <c r="O18" s="97"/>
    </row>
    <row r="19" spans="1:15" ht="13.5" thickBot="1" x14ac:dyDescent="0.25">
      <c r="A19" s="127"/>
      <c r="B19" s="44"/>
      <c r="C19" s="44"/>
      <c r="D19" s="98"/>
      <c r="E19" s="44"/>
      <c r="F19" s="44"/>
      <c r="G19" s="44"/>
      <c r="H19" s="44"/>
      <c r="J19" s="127"/>
      <c r="K19" s="47"/>
      <c r="L19" s="47"/>
      <c r="M19" s="99"/>
      <c r="O19" s="97"/>
    </row>
    <row r="20" spans="1:15" ht="13.5" thickBot="1" x14ac:dyDescent="0.25">
      <c r="A20" s="127" t="s">
        <v>4587</v>
      </c>
      <c r="B20" s="44" t="str">
        <f>IF(LEN(VLOOKUP(A20,'Species List'!$A:$G,2,FALSE))=0,"",VLOOKUP(A20,'Species List'!$A:$G,2,FALSE))</f>
        <v>American elm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127" t="s">
        <v>5387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85">
        <f t="shared" si="2"/>
        <v>2.2140221402214021E-2</v>
      </c>
      <c r="O20" s="97">
        <f t="shared" si="6"/>
        <v>6.6420664206642055E-2</v>
      </c>
    </row>
    <row r="21" spans="1:15" ht="13.5" thickBot="1" x14ac:dyDescent="0.25">
      <c r="A21" s="127" t="s">
        <v>2135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[FAC+]</v>
      </c>
      <c r="H21" s="44">
        <f>VLOOKUP(A21,'Species List'!$A:$G,7,FALSE)</f>
        <v>0</v>
      </c>
      <c r="J21" s="127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2.2140221402214021E-2</v>
      </c>
      <c r="O21" s="97">
        <f t="shared" si="6"/>
        <v>0</v>
      </c>
    </row>
    <row r="22" spans="1:15" ht="13.5" thickBot="1" x14ac:dyDescent="0.25">
      <c r="A22" s="127" t="s">
        <v>3756</v>
      </c>
      <c r="B22" s="44" t="str">
        <f>IF(LEN(VLOOKUP(A22,'Species List'!$A:$G,2,FALSE))=0,"",VLOOKUP(A22,'Species List'!$A:$G,2,FALSE))</f>
        <v>smooth sumac</v>
      </c>
      <c r="C22" s="44">
        <f>IF(LEN(VLOOKUP(A22,'Species List'!$A:$G,3,FALSE))=0,"",VLOOKUP(A22,'Species List'!$A:$G,3,FALSE))</f>
        <v>2</v>
      </c>
      <c r="D22" s="98">
        <f t="shared" si="4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7" t="s">
        <v>5387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2.2140221402214021E-2</v>
      </c>
      <c r="O22" s="97">
        <f t="shared" si="6"/>
        <v>4.4280442804428041E-2</v>
      </c>
    </row>
    <row r="23" spans="1:15" ht="13.5" thickBot="1" x14ac:dyDescent="0.25">
      <c r="A23" s="127" t="s">
        <v>3749</v>
      </c>
      <c r="B23" s="44" t="str">
        <f>IF(LEN(VLOOKUP(A23,'Species List'!$A:$G,2,FALSE))=0,"",VLOOKUP(A23,'Species List'!$A:$G,2,FALSE))</f>
        <v>common buckthorn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27">
        <v>2</v>
      </c>
      <c r="K23" s="47" t="str">
        <f>VLOOKUP(J23,'Species List'!$H$1:$J$9,2,FALSE)</f>
        <v>&gt;5-25%</v>
      </c>
      <c r="L23" s="47">
        <f>VLOOKUP(K23,'Species List'!$I$1:$N$8,2,FALSE)</f>
        <v>15</v>
      </c>
      <c r="M23" s="99">
        <f t="shared" si="5"/>
        <v>15</v>
      </c>
      <c r="N23" s="85">
        <f t="shared" si="2"/>
        <v>0.11070110701107011</v>
      </c>
      <c r="O23" s="97">
        <f t="shared" si="6"/>
        <v>0</v>
      </c>
    </row>
    <row r="24" spans="1:15" ht="13.5" thickBot="1" x14ac:dyDescent="0.25">
      <c r="A24" s="127" t="s">
        <v>3530</v>
      </c>
      <c r="B24" s="44" t="str">
        <f>IF(LEN(VLOOKUP(A24,'Species List'!$A:$G,2,FALSE))=0,"",VLOOKUP(A24,'Species List'!$A:$G,2,FALSE))</f>
        <v>quaking aspen</v>
      </c>
      <c r="C24" s="44">
        <f>IF(LEN(VLOOKUP(A24,'Species List'!$A:$G,3,FALSE))=0,"",VLOOKUP(A24,'Species List'!$A:$G,3,FALSE))</f>
        <v>2</v>
      </c>
      <c r="D24" s="98">
        <f t="shared" si="4"/>
        <v>2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[FAC]</v>
      </c>
      <c r="H24" s="44">
        <f>VLOOKUP(A24,'Species List'!$A:$G,7,FALSE)</f>
        <v>0</v>
      </c>
      <c r="J24" s="127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5"/>
        <v>15</v>
      </c>
      <c r="N24" s="85">
        <f t="shared" si="2"/>
        <v>0.11070110701107011</v>
      </c>
      <c r="O24" s="97">
        <f t="shared" si="6"/>
        <v>0.22140221402214022</v>
      </c>
    </row>
    <row r="25" spans="1:15" ht="13.5" thickBot="1" x14ac:dyDescent="0.25">
      <c r="A25" s="127" t="s">
        <v>3648</v>
      </c>
      <c r="B25" s="44" t="str">
        <f>IF(LEN(VLOOKUP(A25,'Species List'!$A:$G,2,FALSE))=0,"",VLOOKUP(A25,'Species List'!$A:$G,2,FALSE))</f>
        <v>black cherry</v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[FACU]</v>
      </c>
      <c r="H25" s="44">
        <f>VLOOKUP(A25,'Species List'!$A:$G,7,FALSE)</f>
        <v>0</v>
      </c>
      <c r="J25" s="127">
        <v>3</v>
      </c>
      <c r="K25" s="47" t="str">
        <f>VLOOKUP(J25,'Species List'!$H$1:$J$9,2,FALSE)</f>
        <v>&gt;25-50%</v>
      </c>
      <c r="L25" s="47">
        <f>VLOOKUP(K25,'Species List'!$I$1:$N$8,2,FALSE)</f>
        <v>37.5</v>
      </c>
      <c r="M25" s="99">
        <f t="shared" si="5"/>
        <v>37.5</v>
      </c>
      <c r="N25" s="85">
        <f t="shared" si="2"/>
        <v>0.2767527675276753</v>
      </c>
      <c r="O25" s="97">
        <f t="shared" si="6"/>
        <v>1.1070110701107012</v>
      </c>
    </row>
    <row r="26" spans="1:15" ht="13.5" thickBot="1" x14ac:dyDescent="0.25">
      <c r="A26" s="127" t="s">
        <v>4806</v>
      </c>
      <c r="B26" s="44" t="str">
        <f>IF(LEN(VLOOKUP(A26,'Species List'!$A:$G,2,FALSE))=0,"",VLOOKUP(A26,'Species List'!$A:$G,2,FALSE))</f>
        <v>prickly ash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FACU</v>
      </c>
      <c r="H26" s="44">
        <f>VLOOKUP(A26,'Species List'!$A:$G,7,FALSE)</f>
        <v>0</v>
      </c>
      <c r="J26" s="127" t="s">
        <v>5387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2.2140221402214021E-2</v>
      </c>
      <c r="O26" s="97">
        <f t="shared" si="6"/>
        <v>6.6420664206642055E-2</v>
      </c>
    </row>
    <row r="27" spans="1:15" ht="13.5" thickBot="1" x14ac:dyDescent="0.25">
      <c r="A27" s="127"/>
      <c r="B27" s="44"/>
      <c r="C27" s="44"/>
      <c r="D27" s="98"/>
      <c r="E27" s="44"/>
      <c r="F27" s="44"/>
      <c r="G27" s="44"/>
      <c r="H27" s="44"/>
      <c r="J27" s="127"/>
      <c r="K27" s="47"/>
      <c r="L27" s="47"/>
      <c r="M27" s="99"/>
      <c r="O27" s="97"/>
    </row>
    <row r="28" spans="1:15" ht="13.5" thickBot="1" x14ac:dyDescent="0.25">
      <c r="A28" s="128" t="s">
        <v>5456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7" t="s">
        <v>5387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85">
        <f t="shared" si="2"/>
        <v>2.2140221402214021E-2</v>
      </c>
      <c r="O28" s="97">
        <f t="shared" si="6"/>
        <v>0</v>
      </c>
    </row>
    <row r="29" spans="1:15" ht="13.5" thickBot="1" x14ac:dyDescent="0.25">
      <c r="A29" s="127" t="s">
        <v>3650</v>
      </c>
      <c r="B29" s="44" t="str">
        <f>IF(LEN(VLOOKUP(A29,'Species List'!$A:$G,2,FALSE))=0,"",VLOOKUP(A29,'Species List'!$A:$G,2,FALSE))</f>
        <v>chokecherry</v>
      </c>
      <c r="C29" s="44">
        <f>IF(LEN(VLOOKUP(A29,'Species List'!$A:$G,3,FALSE))=0,"",VLOOKUP(A29,'Species List'!$A:$G,3,FALSE))</f>
        <v>3</v>
      </c>
      <c r="D29" s="98">
        <f t="shared" si="4"/>
        <v>3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[FAC-]</v>
      </c>
      <c r="H29" s="44">
        <f>VLOOKUP(A29,'Species List'!$A:$G,7,FALSE)</f>
        <v>0</v>
      </c>
      <c r="J29" s="127" t="s">
        <v>5387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85">
        <f t="shared" si="2"/>
        <v>2.2140221402214021E-2</v>
      </c>
      <c r="O29" s="97">
        <f t="shared" si="6"/>
        <v>6.6420664206642055E-2</v>
      </c>
    </row>
    <row r="30" spans="1:15" ht="13.5" thickBot="1" x14ac:dyDescent="0.25">
      <c r="A30" s="127" t="s">
        <v>3849</v>
      </c>
      <c r="B30" s="44" t="str">
        <f>IF(LEN(VLOOKUP(A30,'Species List'!$A:$G,2,FALSE))=0,"",VLOOKUP(A30,'Species List'!$A:$G,2,FALSE))</f>
        <v>black raspberry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7">
        <v>1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85">
        <f t="shared" si="2"/>
        <v>2.2140221402214021E-2</v>
      </c>
      <c r="O30" s="97">
        <f t="shared" si="6"/>
        <v>4.4280442804428041E-2</v>
      </c>
    </row>
    <row r="31" spans="1:15" ht="13.5" thickBot="1" x14ac:dyDescent="0.25">
      <c r="A31" s="127"/>
      <c r="B31" s="44"/>
      <c r="C31" s="44"/>
      <c r="D31" s="98"/>
      <c r="E31" s="44"/>
      <c r="F31" s="44"/>
      <c r="G31" s="44"/>
      <c r="H31" s="44"/>
      <c r="J31" s="127"/>
      <c r="K31" s="47"/>
      <c r="L31" s="47"/>
      <c r="M31" s="99"/>
      <c r="O31" s="97"/>
    </row>
    <row r="32" spans="1:15" ht="13.5" thickBot="1" x14ac:dyDescent="0.25">
      <c r="A32" s="127" t="s">
        <v>3137</v>
      </c>
      <c r="B32" s="44" t="str">
        <f>IF(LEN(VLOOKUP(A32,'Species List'!$A:$G,2,FALSE))=0,"",VLOOKUP(A32,'Species List'!$A:$G,2,FALSE))</f>
        <v>ironwood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[FACU-]</v>
      </c>
      <c r="H32" s="44">
        <f>VLOOKUP(A32,'Species List'!$A:$G,7,FALSE)</f>
        <v>0</v>
      </c>
      <c r="J32" s="127" t="s">
        <v>5389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99">
        <f t="shared" si="5"/>
        <v>0.5</v>
      </c>
      <c r="N32" s="85">
        <f t="shared" si="2"/>
        <v>3.6900369003690036E-3</v>
      </c>
      <c r="O32" s="97">
        <f t="shared" si="6"/>
        <v>1.4760147601476014E-2</v>
      </c>
    </row>
    <row r="33" spans="1:15" ht="13.5" thickBot="1" x14ac:dyDescent="0.25">
      <c r="A33" s="127"/>
      <c r="B33" s="44"/>
      <c r="C33" s="44"/>
      <c r="D33" s="98"/>
      <c r="E33" s="44"/>
      <c r="F33" s="44"/>
      <c r="G33" s="44"/>
      <c r="H33" s="44"/>
      <c r="J33" s="127"/>
      <c r="K33" s="47"/>
      <c r="L33" s="47"/>
      <c r="M33" s="99"/>
      <c r="O33" s="97"/>
    </row>
    <row r="34" spans="1:15" ht="13.5" thickBot="1" x14ac:dyDescent="0.25">
      <c r="A34" s="127"/>
      <c r="B34" s="44"/>
      <c r="C34" s="44"/>
      <c r="D34" s="98"/>
      <c r="E34" s="44"/>
      <c r="F34" s="44"/>
      <c r="G34" s="44"/>
      <c r="H34" s="44"/>
      <c r="J34" s="127"/>
      <c r="K34" s="47"/>
      <c r="L34" s="47"/>
      <c r="M34" s="99"/>
      <c r="O34" s="97"/>
    </row>
    <row r="35" spans="1:15" ht="13.5" thickBot="1" x14ac:dyDescent="0.25">
      <c r="A35" s="127" t="s">
        <v>5449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2</v>
      </c>
      <c r="D35" s="98">
        <f t="shared" si="4"/>
        <v>2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27" t="s">
        <v>5387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85">
        <f t="shared" si="2"/>
        <v>2.2140221402214021E-2</v>
      </c>
      <c r="O35" s="97">
        <f t="shared" si="6"/>
        <v>4.4280442804428041E-2</v>
      </c>
    </row>
    <row r="36" spans="1:15" ht="13.5" thickBot="1" x14ac:dyDescent="0.25">
      <c r="A36" s="127" t="s">
        <v>2496</v>
      </c>
      <c r="B36" s="44" t="str">
        <f>IF(LEN(VLOOKUP(A36,'Species List'!$A:$G,2,FALSE))=0,"",VLOOKUP(A36,'Species List'!$A:$G,2,FALSE))</f>
        <v>black walnut</v>
      </c>
      <c r="C36" s="44">
        <f>IF(LEN(VLOOKUP(A36,'Species List'!$A:$G,3,FALSE))=0,"",VLOOKUP(A36,'Species List'!$A:$G,3,FALSE))</f>
        <v>4</v>
      </c>
      <c r="D36" s="98">
        <f t="shared" si="4"/>
        <v>4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27" t="s">
        <v>5389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85">
        <f t="shared" si="2"/>
        <v>3.6900369003690036E-3</v>
      </c>
      <c r="O36" s="97">
        <f t="shared" si="6"/>
        <v>1.4760147601476014E-2</v>
      </c>
    </row>
    <row r="37" spans="1:15" ht="13.5" thickBot="1" x14ac:dyDescent="0.25">
      <c r="A37" s="127"/>
      <c r="B37" s="44"/>
      <c r="C37" s="44"/>
      <c r="D37" s="98"/>
      <c r="E37" s="44"/>
      <c r="F37" s="44"/>
      <c r="G37" s="44"/>
      <c r="H37" s="44"/>
      <c r="J37" s="127"/>
      <c r="K37" s="47"/>
      <c r="L37" s="47"/>
      <c r="M37" s="99"/>
      <c r="O37" s="97"/>
    </row>
    <row r="38" spans="1:15" ht="13.5" thickBot="1" x14ac:dyDescent="0.25">
      <c r="A38" s="127"/>
      <c r="B38" s="44"/>
      <c r="C38" s="44"/>
      <c r="D38" s="98"/>
      <c r="E38" s="44"/>
      <c r="F38" s="44"/>
      <c r="G38" s="44"/>
      <c r="H38" s="44"/>
      <c r="J38" s="127"/>
      <c r="K38" s="47"/>
      <c r="L38" s="47"/>
      <c r="M38" s="99"/>
      <c r="O38" s="97"/>
    </row>
    <row r="39" spans="1:15" ht="13.5" thickBot="1" x14ac:dyDescent="0.25">
      <c r="A39" s="127"/>
      <c r="B39" s="44"/>
      <c r="C39" s="44"/>
      <c r="D39" s="98"/>
      <c r="E39" s="44"/>
      <c r="F39" s="44"/>
      <c r="G39" s="44"/>
      <c r="H39" s="44"/>
      <c r="J39" s="127"/>
      <c r="K39" s="47"/>
      <c r="L39" s="47"/>
      <c r="M39" s="99"/>
      <c r="O39" s="97"/>
    </row>
    <row r="40" spans="1:15" ht="13.5" thickBot="1" x14ac:dyDescent="0.25">
      <c r="A40" s="127"/>
      <c r="B40" s="44"/>
      <c r="C40" s="44"/>
      <c r="D40" s="98"/>
      <c r="E40" s="44"/>
      <c r="F40" s="44"/>
      <c r="G40" s="44"/>
      <c r="H40" s="44"/>
      <c r="J40" s="127"/>
      <c r="K40" s="47"/>
      <c r="L40" s="47"/>
      <c r="M40" s="99"/>
      <c r="O40" s="97"/>
    </row>
    <row r="41" spans="1:15" ht="13.5" thickBot="1" x14ac:dyDescent="0.25">
      <c r="A41" s="127"/>
      <c r="B41" s="44"/>
      <c r="C41" s="44"/>
      <c r="D41" s="98"/>
      <c r="E41" s="44"/>
      <c r="F41" s="44"/>
      <c r="G41" s="44"/>
      <c r="H41" s="44"/>
      <c r="J41" s="127"/>
      <c r="K41" s="47"/>
      <c r="L41" s="47"/>
      <c r="M41" s="99"/>
      <c r="O41" s="97"/>
    </row>
    <row r="42" spans="1:15" ht="13.5" thickBot="1" x14ac:dyDescent="0.25">
      <c r="A42" s="127" t="s">
        <v>162</v>
      </c>
      <c r="B42" s="44" t="str">
        <f>IF(LEN(VLOOKUP(A42,'Species List'!$A:$G,2,FALSE))=0,"",VLOOKUP(A42,'Species List'!$A:$G,2,FALSE))</f>
        <v>box elder</v>
      </c>
      <c r="C42" s="44">
        <f>IF(LEN(VLOOKUP(A42,'Species List'!$A:$G,3,FALSE))=0,"",VLOOKUP(A42,'Species List'!$A:$G,3,FALSE))</f>
        <v>1</v>
      </c>
      <c r="D42" s="98">
        <f t="shared" si="4"/>
        <v>1</v>
      </c>
      <c r="E42" s="44" t="str">
        <f>IF(LEN(VLOOKUP(A42,'Species List'!$A:$G,4,FALSE))=0,"",VLOOKUP(A42,'Species List'!$A:$G,4,FALSE))</f>
        <v>D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FACW-</v>
      </c>
      <c r="H42" s="44">
        <f>VLOOKUP(A42,'Species List'!$A:$G,7,FALSE)</f>
        <v>0</v>
      </c>
      <c r="J42" s="127">
        <v>2</v>
      </c>
      <c r="K42" s="47" t="str">
        <f>VLOOKUP(J42,'Species List'!$H$1:$J$9,2,FALSE)</f>
        <v>&gt;5-25%</v>
      </c>
      <c r="L42" s="47">
        <f>VLOOKUP(K42,'Species List'!$I$1:$N$8,2,FALSE)</f>
        <v>15</v>
      </c>
      <c r="M42" s="99">
        <f t="shared" si="5"/>
        <v>15</v>
      </c>
      <c r="N42" s="85">
        <f t="shared" si="2"/>
        <v>0.11070110701107011</v>
      </c>
      <c r="O42" s="97">
        <f t="shared" si="6"/>
        <v>0.11070110701107011</v>
      </c>
    </row>
    <row r="43" spans="1:15" ht="13.5" thickBot="1" x14ac:dyDescent="0.25">
      <c r="A43" s="127" t="s">
        <v>3690</v>
      </c>
      <c r="B43" s="44" t="str">
        <f>IF(LEN(VLOOKUP(A43,'Species List'!$A:$G,2,FALSE))=0,"",VLOOKUP(A43,'Species List'!$A:$G,2,FALSE))</f>
        <v>northern red oak</v>
      </c>
      <c r="C43" s="44">
        <f>IF(LEN(VLOOKUP(A43,'Species List'!$A:$G,3,FALSE))=0,"",VLOOKUP(A43,'Species List'!$A:$G,3,FALSE))</f>
        <v>5</v>
      </c>
      <c r="D43" s="98">
        <f t="shared" si="4"/>
        <v>5</v>
      </c>
      <c r="E43" s="44" t="str">
        <f>IF(LEN(VLOOKUP(A43,'Species List'!$A:$G,4,FALSE))=0,"",VLOOKUP(A43,'Species List'!$A:$G,4,FALSE))</f>
        <v>D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FACU</v>
      </c>
      <c r="H43" s="44">
        <f>VLOOKUP(A43,'Species List'!$A:$G,7,FALSE)</f>
        <v>0</v>
      </c>
      <c r="J43" s="127">
        <v>2</v>
      </c>
      <c r="K43" s="47" t="str">
        <f>VLOOKUP(J43,'Species List'!$H$1:$J$9,2,FALSE)</f>
        <v>&gt;5-25%</v>
      </c>
      <c r="L43" s="47">
        <f>VLOOKUP(K43,'Species List'!$I$1:$N$8,2,FALSE)</f>
        <v>15</v>
      </c>
      <c r="M43" s="99">
        <f t="shared" si="5"/>
        <v>15</v>
      </c>
      <c r="N43" s="85">
        <f t="shared" si="2"/>
        <v>0.11070110701107011</v>
      </c>
      <c r="O43" s="97">
        <f t="shared" si="6"/>
        <v>0.55350553505535061</v>
      </c>
    </row>
    <row r="44" spans="1:15" ht="13.5" thickBot="1" x14ac:dyDescent="0.25">
      <c r="A44" s="127" t="s">
        <v>3686</v>
      </c>
      <c r="B44" s="44" t="str">
        <f>IF(LEN(VLOOKUP(A44,'Species List'!$A:$G,2,FALSE))=0,"",VLOOKUP(A44,'Species List'!$A:$G,2,FALSE))</f>
        <v>bur oak</v>
      </c>
      <c r="C44" s="44">
        <f>IF(LEN(VLOOKUP(A44,'Species List'!$A:$G,3,FALSE))=0,"",VLOOKUP(A44,'Species List'!$A:$G,3,FALSE))</f>
        <v>5</v>
      </c>
      <c r="D44" s="98">
        <f t="shared" si="4"/>
        <v>5</v>
      </c>
      <c r="E44" s="44" t="str">
        <f>IF(LEN(VLOOKUP(A44,'Species List'!$A:$G,4,FALSE))=0,"",VLOOKUP(A44,'Species List'!$A:$G,4,FALSE))</f>
        <v>D</v>
      </c>
      <c r="F44" s="44" t="str">
        <f>IF(LEN(VLOOKUP(A44,'Species List'!$A:$G,5,FALSE))=0,"",VLOOKUP(A44,'Species List'!$A:$G,5,FALSE))</f>
        <v>Native</v>
      </c>
      <c r="G44" s="44" t="str">
        <f>IF(LEN(VLOOKUP(A44,'Species List'!$A:$G,6,FALSE))=0,"",VLOOKUP(A44,'Species List'!$A:$G,6,FALSE))</f>
        <v>[FAC-]</v>
      </c>
      <c r="H44" s="44">
        <f>VLOOKUP(A44,'Species List'!$A:$G,7,FALSE)</f>
        <v>0</v>
      </c>
      <c r="J44" s="127" t="s">
        <v>5389</v>
      </c>
      <c r="K44" s="47" t="str">
        <f>VLOOKUP(J44,'Species List'!$H$1:$J$9,2,FALSE)</f>
        <v>&gt;0-1%</v>
      </c>
      <c r="L44" s="47">
        <f>VLOOKUP(K44,'Species List'!$I$1:$N$8,2,FALSE)</f>
        <v>0.5</v>
      </c>
      <c r="M44" s="99">
        <f t="shared" si="5"/>
        <v>0.5</v>
      </c>
      <c r="N44" s="85">
        <f t="shared" si="2"/>
        <v>3.6900369003690036E-3</v>
      </c>
      <c r="O44" s="97">
        <f t="shared" si="6"/>
        <v>1.8450184501845018E-2</v>
      </c>
    </row>
    <row r="45" spans="1:15" ht="13.5" thickBot="1" x14ac:dyDescent="0.25">
      <c r="A45" s="127"/>
      <c r="B45" s="44"/>
      <c r="C45" s="44"/>
      <c r="D45" s="98"/>
      <c r="E45" s="44"/>
      <c r="F45" s="44"/>
      <c r="G45" s="44"/>
      <c r="H45" s="44"/>
      <c r="J45" s="127"/>
      <c r="K45" s="47"/>
      <c r="L45" s="47"/>
      <c r="M45" s="99"/>
      <c r="O45" s="97"/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1" t="s">
        <v>5356</v>
      </c>
      <c r="J151" s="152"/>
      <c r="K151" s="153"/>
      <c r="L151" s="63">
        <f>SUMIF(L10:L150,"&gt;=0")</f>
        <v>135.5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277D21AC-7723-4D89-9C77-9774B9C82985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J10" sqref="J10:J5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0"/>
      <c r="C7" s="150"/>
      <c r="D7" s="150"/>
      <c r="E7" s="150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5404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7" t="s">
        <v>359</v>
      </c>
      <c r="B10" s="44" t="str">
        <f>IF(LEN(VLOOKUP(A10,'Species List'!$A:$G,2,FALSE))=0,"",VLOOKUP(A10,'Species List'!$A:$G,2,FALSE))</f>
        <v>hog peanut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27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2" si="1">VALUE(L10)</f>
        <v>37.5</v>
      </c>
      <c r="N10" s="105">
        <f t="shared" ref="N10:N41" si="2">L10/$L$150</f>
        <v>0.1728110599078341</v>
      </c>
      <c r="O10" s="105">
        <f t="shared" ref="O10:O11" si="3">D10*N10</f>
        <v>0.34562211981566821</v>
      </c>
    </row>
    <row r="11" spans="1:15" ht="13.5" thickBot="1" x14ac:dyDescent="0.25">
      <c r="A11" s="127" t="s">
        <v>1364</v>
      </c>
      <c r="B11" s="44" t="str">
        <f>IF(LEN(VLOOKUP(A11,'Species List'!$A:$G,2,FALSE))=0,"",VLOOKUP(A11,'Species List'!$A:$G,2,FALSE))</f>
        <v>common enchanter's nightshade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[FACU]</v>
      </c>
      <c r="H11" s="44">
        <f>VLOOKUP(A11,'Species List'!$A:$G,7,FALSE)</f>
        <v>0</v>
      </c>
      <c r="J11" s="127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1.3824884792626729E-2</v>
      </c>
      <c r="O11" s="105">
        <f t="shared" si="3"/>
        <v>2.7649769585253458E-2</v>
      </c>
    </row>
    <row r="12" spans="1:15" ht="13.5" thickBot="1" x14ac:dyDescent="0.25">
      <c r="A12" s="127" t="s">
        <v>234</v>
      </c>
      <c r="B12" s="44" t="str">
        <f>IF(LEN(VLOOKUP(A12,'Species List'!$A:$G,2,FALSE))=0,"",VLOOKUP(A12,'Species List'!$A:$G,2,FALSE))</f>
        <v>white snakeroot</v>
      </c>
      <c r="C12" s="44">
        <f>IF(LEN(VLOOKUP(A12,'Species List'!$A:$G,3,FALSE))=0,"",VLOOKUP(A12,'Species List'!$A:$G,3,FALSE))</f>
        <v>1</v>
      </c>
      <c r="D12" s="98">
        <f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7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1.3824884792626729E-2</v>
      </c>
      <c r="O12" s="85">
        <f>D12*N12</f>
        <v>1.3824884792626729E-2</v>
      </c>
    </row>
    <row r="13" spans="1:15" ht="13.5" thickBot="1" x14ac:dyDescent="0.25">
      <c r="A13" s="127" t="s">
        <v>2183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4</v>
      </c>
      <c r="D13" s="98">
        <f t="shared" ref="D13:D75" si="4">VALUE(C13)</f>
        <v>4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FACU+</v>
      </c>
      <c r="H13" s="44">
        <f>VLOOKUP(A13,'Species List'!$A:$G,7,FALSE)</f>
        <v>0</v>
      </c>
      <c r="J13" s="127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1.3824884792626729E-2</v>
      </c>
      <c r="O13" s="97">
        <f t="shared" ref="O13:O75" si="6">D13*N13</f>
        <v>5.5299539170506916E-2</v>
      </c>
    </row>
    <row r="14" spans="1:15" ht="13.5" thickBot="1" x14ac:dyDescent="0.25">
      <c r="A14" s="127" t="s">
        <v>4546</v>
      </c>
      <c r="B14" s="44" t="str">
        <f>IF(LEN(VLOOKUP(A14,'Species List'!$A:$G,2,FALSE))=0,"",VLOOKUP(A14,'Species List'!$A:$G,2,FALSE))</f>
        <v>red clover</v>
      </c>
      <c r="C14" s="44">
        <f>IF(LEN(VLOOKUP(A14,'Species List'!$A:$G,3,FALSE))=0,"",VLOOKUP(A14,'Species List'!$A:$G,3,FALSE))</f>
        <v>0</v>
      </c>
      <c r="D14" s="98">
        <f t="shared" si="4"/>
        <v>0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FACU+</v>
      </c>
      <c r="H14" s="44">
        <f>VLOOKUP(A14,'Species List'!$A:$G,7,FALSE)</f>
        <v>0</v>
      </c>
      <c r="J14" s="127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1.3824884792626729E-2</v>
      </c>
      <c r="O14" s="97">
        <f t="shared" si="6"/>
        <v>0</v>
      </c>
    </row>
    <row r="15" spans="1:15" ht="13.5" thickBot="1" x14ac:dyDescent="0.25">
      <c r="A15" s="127" t="s">
        <v>596</v>
      </c>
      <c r="B15" s="44" t="str">
        <f>IF(LEN(VLOOKUP(A15,'Species List'!$A:$G,2,FALSE))=0,"",VLOOKUP(A15,'Species List'!$A:$G,2,FALSE))</f>
        <v>lady fern</v>
      </c>
      <c r="C15" s="44">
        <f>IF(LEN(VLOOKUP(A15,'Species List'!$A:$G,3,FALSE))=0,"",VLOOKUP(A15,'Species List'!$A:$G,3,FALSE))</f>
        <v>5</v>
      </c>
      <c r="D15" s="98">
        <f t="shared" si="4"/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7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97">
        <f t="shared" si="2"/>
        <v>6.9124423963133647E-2</v>
      </c>
      <c r="O15" s="97">
        <f t="shared" si="6"/>
        <v>0.34562211981566826</v>
      </c>
    </row>
    <row r="16" spans="1:15" ht="13.5" thickBot="1" x14ac:dyDescent="0.25">
      <c r="A16" s="127" t="s">
        <v>4202</v>
      </c>
      <c r="B16" s="44" t="str">
        <f>IF(LEN(VLOOKUP(A16,'Species List'!$A:$G,2,FALSE))=0,"",VLOOKUP(A16,'Species List'!$A:$G,2,FALSE))</f>
        <v>late goldenrod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7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97">
        <f t="shared" si="2"/>
        <v>6.9124423963133647E-2</v>
      </c>
      <c r="O16" s="97">
        <f t="shared" si="6"/>
        <v>6.9124423963133647E-2</v>
      </c>
    </row>
    <row r="17" spans="1:15" ht="13.5" thickBot="1" x14ac:dyDescent="0.25">
      <c r="A17" s="127" t="s">
        <v>4499</v>
      </c>
      <c r="B17" s="44" t="str">
        <f>IF(LEN(VLOOKUP(A17,'Species List'!$A:$G,2,FALSE))=0,"",VLOOKUP(A17,'Species List'!$A:$G,2,FALSE))</f>
        <v>Japanese Hedge Parsley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7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1.3824884792626729E-2</v>
      </c>
      <c r="O17" s="97">
        <f t="shared" si="6"/>
        <v>0</v>
      </c>
    </row>
    <row r="18" spans="1:15" ht="13.5" thickBot="1" x14ac:dyDescent="0.25">
      <c r="A18" s="127" t="s">
        <v>1770</v>
      </c>
      <c r="B18" s="44" t="str">
        <f>IF(LEN(VLOOKUP(A18,'Species List'!$A:$G,2,FALSE))=0,"",VLOOKUP(A18,'Species List'!$A:$G,2,FALSE))</f>
        <v>spinulose shield fern</v>
      </c>
      <c r="C18" s="44">
        <f>IF(LEN(VLOOKUP(A18,'Species List'!$A:$G,3,FALSE))=0,"",VLOOKUP(A18,'Species List'!$A:$G,3,FALSE))</f>
        <v>6</v>
      </c>
      <c r="D18" s="98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[FACW-]</v>
      </c>
      <c r="H18" s="44">
        <f>VLOOKUP(A18,'Species List'!$A:$G,7,FALSE)</f>
        <v>0</v>
      </c>
      <c r="J18" s="127" t="s">
        <v>5387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1.3824884792626729E-2</v>
      </c>
      <c r="O18" s="97">
        <f t="shared" si="6"/>
        <v>8.294930875576037E-2</v>
      </c>
    </row>
    <row r="19" spans="1:15" ht="13.5" thickBot="1" x14ac:dyDescent="0.25">
      <c r="A19" s="127" t="s">
        <v>4414</v>
      </c>
      <c r="B19" s="44" t="str">
        <f>IF(LEN(VLOOKUP(A19,'Species List'!$A:$G,2,FALSE))=0,"",VLOOKUP(A19,'Species List'!$A:$G,2,FALSE))</f>
        <v>side-flowering aster</v>
      </c>
      <c r="C19" s="44">
        <f>IF(LEN(VLOOKUP(A19,'Species List'!$A:$G,3,FALSE))=0,"",VLOOKUP(A19,'Species List'!$A:$G,3,FALSE))</f>
        <v>4</v>
      </c>
      <c r="D19" s="98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[FACW-]</v>
      </c>
      <c r="H19" s="44">
        <f>VLOOKUP(A19,'Species List'!$A:$G,7,FALSE)</f>
        <v>0</v>
      </c>
      <c r="J19" s="127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99">
        <f t="shared" si="5"/>
        <v>15</v>
      </c>
      <c r="N19" s="97">
        <f t="shared" si="2"/>
        <v>6.9124423963133647E-2</v>
      </c>
      <c r="O19" s="97">
        <f t="shared" si="6"/>
        <v>0.27649769585253459</v>
      </c>
    </row>
    <row r="20" spans="1:15" ht="13.5" thickBot="1" x14ac:dyDescent="0.25">
      <c r="A20" s="127" t="s">
        <v>3143</v>
      </c>
      <c r="B20" s="44" t="str">
        <f>IF(LEN(VLOOKUP(A20,'Species List'!$A:$G,2,FALSE))=0,"",VLOOKUP(A20,'Species List'!$A:$G,2,FALSE))</f>
        <v>yellow wood sorrel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[FACU]</v>
      </c>
      <c r="H20" s="44">
        <f>VLOOKUP(A20,'Species List'!$A:$G,7,FALSE)</f>
        <v>0</v>
      </c>
      <c r="J20" s="127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1.3824884792626729E-2</v>
      </c>
      <c r="O20" s="97">
        <f t="shared" si="6"/>
        <v>0</v>
      </c>
    </row>
    <row r="21" spans="1:15" ht="13.5" thickBot="1" x14ac:dyDescent="0.25">
      <c r="A21" s="127" t="s">
        <v>472</v>
      </c>
      <c r="B21" s="44" t="str">
        <f>IF(LEN(VLOOKUP(A21,'Species List'!$A:$G,2,FALSE))=0,"",VLOOKUP(A21,'Species List'!$A:$G,2,FALSE))</f>
        <v>Jack-in-the-pulpit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27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1.3824884792626729E-2</v>
      </c>
      <c r="O21" s="97">
        <f t="shared" si="6"/>
        <v>5.5299539170506916E-2</v>
      </c>
    </row>
    <row r="22" spans="1:15" ht="13.5" thickBot="1" x14ac:dyDescent="0.25">
      <c r="A22" s="127" t="s">
        <v>3876</v>
      </c>
      <c r="B22" s="44" t="str">
        <f>IF(LEN(VLOOKUP(A22,'Species List'!$A:$G,2,FALSE))=0,"",VLOOKUP(A22,'Species List'!$A:$G,2,FALSE))</f>
        <v>tall coneflower</v>
      </c>
      <c r="C22" s="44">
        <f>IF(LEN(VLOOKUP(A22,'Species List'!$A:$G,3,FALSE))=0,"",VLOOKUP(A22,'Species List'!$A:$G,3,FALSE))</f>
        <v>6</v>
      </c>
      <c r="D22" s="98">
        <f t="shared" si="4"/>
        <v>6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</v>
      </c>
      <c r="H22" s="44">
        <f>VLOOKUP(A22,'Species List'!$A:$G,7,FALSE)</f>
        <v>0</v>
      </c>
      <c r="J22" s="127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99">
        <f t="shared" si="5"/>
        <v>15</v>
      </c>
      <c r="N22" s="97">
        <f t="shared" si="2"/>
        <v>6.9124423963133647E-2</v>
      </c>
      <c r="O22" s="97">
        <f t="shared" si="6"/>
        <v>0.41474654377880188</v>
      </c>
    </row>
    <row r="23" spans="1:15" ht="13.5" thickBot="1" x14ac:dyDescent="0.25">
      <c r="A23" s="127" t="s">
        <v>674</v>
      </c>
      <c r="B23" s="44" t="str">
        <f>IF(LEN(VLOOKUP(A23,'Species List'!$A:$G,2,FALSE))=0,"",VLOOKUP(A23,'Species List'!$A:$G,2,FALSE))</f>
        <v>leafy beggarticks</v>
      </c>
      <c r="C23" s="44">
        <f>IF(LEN(VLOOKUP(A23,'Species List'!$A:$G,3,FALSE))=0,"",VLOOKUP(A23,'Species List'!$A:$G,3,FALSE))</f>
        <v>1</v>
      </c>
      <c r="D23" s="98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27" t="s">
        <v>5387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1.3824884792626729E-2</v>
      </c>
      <c r="O23" s="97">
        <f t="shared" si="6"/>
        <v>1.3824884792626729E-2</v>
      </c>
    </row>
    <row r="24" spans="1:15" ht="13.5" thickBot="1" x14ac:dyDescent="0.25">
      <c r="A24" s="127" t="s">
        <v>2298</v>
      </c>
      <c r="B24" s="44" t="str">
        <f>IF(LEN(VLOOKUP(A24,'Species List'!$A:$G,2,FALSE))=0,"",VLOOKUP(A24,'Species List'!$A:$G,2,FALSE))</f>
        <v>Virginia stickseed</v>
      </c>
      <c r="C24" s="44">
        <f>IF(LEN(VLOOKUP(A24,'Species List'!$A:$G,3,FALSE))=0,"",VLOOKUP(A24,'Species List'!$A:$G,3,FALSE))</f>
        <v>1</v>
      </c>
      <c r="D24" s="98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FAC-</v>
      </c>
      <c r="H24" s="44">
        <f>VLOOKUP(A24,'Species List'!$A:$G,7,FALSE)</f>
        <v>0</v>
      </c>
      <c r="J24" s="127">
        <v>1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1.3824884792626729E-2</v>
      </c>
      <c r="O24" s="97">
        <f t="shared" si="6"/>
        <v>1.3824884792626729E-2</v>
      </c>
    </row>
    <row r="25" spans="1:15" ht="13.5" thickBot="1" x14ac:dyDescent="0.25">
      <c r="A25" s="127" t="s">
        <v>4211</v>
      </c>
      <c r="B25" s="44" t="str">
        <f>IF(LEN(VLOOKUP(A25,'Species List'!$A:$G,2,FALSE))=0,"",VLOOKUP(A25,'Species List'!$A:$G,2,FALSE))</f>
        <v>giant goldenrod</v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</v>
      </c>
      <c r="H25" s="44">
        <f>VLOOKUP(A25,'Species List'!$A:$G,7,FALSE)</f>
        <v>0</v>
      </c>
      <c r="J25" s="127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5"/>
        <v>15</v>
      </c>
      <c r="N25" s="97">
        <f t="shared" si="2"/>
        <v>6.9124423963133647E-2</v>
      </c>
      <c r="O25" s="97">
        <f t="shared" si="6"/>
        <v>0.20737327188940094</v>
      </c>
    </row>
    <row r="26" spans="1:15" ht="13.5" thickBot="1" x14ac:dyDescent="0.25">
      <c r="A26" s="127" t="s">
        <v>1977</v>
      </c>
      <c r="B26" s="44" t="str">
        <f>IF(LEN(VLOOKUP(A26,'Species List'!$A:$G,2,FALSE))=0,"",VLOOKUP(A26,'Species List'!$A:$G,2,FALSE))</f>
        <v>annual fleabane</v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FAC-</v>
      </c>
      <c r="H26" s="44">
        <f>VLOOKUP(A26,'Species List'!$A:$G,7,FALSE)</f>
        <v>0</v>
      </c>
      <c r="J26" s="127" t="s">
        <v>5387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1.3824884792626729E-2</v>
      </c>
      <c r="O26" s="97">
        <f t="shared" si="6"/>
        <v>0</v>
      </c>
    </row>
    <row r="27" spans="1:15" ht="13.5" thickBot="1" x14ac:dyDescent="0.25">
      <c r="A27" s="127" t="s">
        <v>2237</v>
      </c>
      <c r="B27" s="44" t="str">
        <f>IF(LEN(VLOOKUP(A27,'Species List'!$A:$G,2,FALSE))=0,"",VLOOKUP(A27,'Species List'!$A:$G,2,FALSE))</f>
        <v>white avens</v>
      </c>
      <c r="C27" s="44">
        <f>IF(LEN(VLOOKUP(A27,'Species List'!$A:$G,3,FALSE))=0,"",VLOOKUP(A27,'Species List'!$A:$G,3,FALSE))</f>
        <v>2</v>
      </c>
      <c r="D27" s="98">
        <f t="shared" si="4"/>
        <v>2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27" t="s">
        <v>5387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1.3824884792626729E-2</v>
      </c>
      <c r="O27" s="97">
        <f t="shared" si="6"/>
        <v>2.7649769585253458E-2</v>
      </c>
    </row>
    <row r="28" spans="1:15" ht="13.5" thickBot="1" x14ac:dyDescent="0.25">
      <c r="A28" s="127" t="s">
        <v>3729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5</v>
      </c>
      <c r="D28" s="98">
        <f t="shared" si="4"/>
        <v>5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</v>
      </c>
      <c r="H28" s="44">
        <f>VLOOKUP(A28,'Species List'!$A:$G,7,FALSE)</f>
        <v>0</v>
      </c>
      <c r="J28" s="127" t="s">
        <v>5387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1.3824884792626729E-2</v>
      </c>
      <c r="O28" s="97">
        <f t="shared" si="6"/>
        <v>6.9124423963133647E-2</v>
      </c>
    </row>
    <row r="29" spans="1:15" ht="13.5" thickBot="1" x14ac:dyDescent="0.25">
      <c r="A29" s="127" t="s">
        <v>1373</v>
      </c>
      <c r="B29" s="44" t="str">
        <f>IF(LEN(VLOOKUP(A29,'Species List'!$A:$G,2,FALSE))=0,"",VLOOKUP(A29,'Species List'!$A:$G,2,FALSE))</f>
        <v>field thistle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7" t="s">
        <v>5389</v>
      </c>
      <c r="K29" s="47" t="str">
        <f>VLOOKUP(J29,'Species List'!$H$1:$J$9,2,FALSE)</f>
        <v>&gt;0-1%</v>
      </c>
      <c r="L29" s="47">
        <f>VLOOKUP(K29,'Species List'!$I$1:$N$8,2,FALSE)</f>
        <v>0.5</v>
      </c>
      <c r="M29" s="99">
        <f t="shared" si="5"/>
        <v>0.5</v>
      </c>
      <c r="N29" s="97">
        <f t="shared" si="2"/>
        <v>2.304147465437788E-3</v>
      </c>
      <c r="O29" s="97">
        <f t="shared" si="6"/>
        <v>9.2165898617511521E-3</v>
      </c>
    </row>
    <row r="30" spans="1:15" ht="13.5" thickBot="1" x14ac:dyDescent="0.25">
      <c r="A30" s="127" t="s">
        <v>2841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5</v>
      </c>
      <c r="D30" s="98">
        <f t="shared" si="4"/>
        <v>5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7" t="s">
        <v>5387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1.3824884792626729E-2</v>
      </c>
      <c r="O30" s="97">
        <f t="shared" si="6"/>
        <v>6.9124423963133647E-2</v>
      </c>
    </row>
    <row r="31" spans="1:15" ht="13.5" thickBot="1" x14ac:dyDescent="0.25">
      <c r="A31" s="127" t="s">
        <v>4642</v>
      </c>
      <c r="B31" s="44" t="str">
        <f>IF(LEN(VLOOKUP(A31,'Species List'!$A:$G,2,FALSE))=0,"",VLOOKUP(A31,'Species List'!$A:$G,2,FALSE))</f>
        <v>common mullein</v>
      </c>
      <c r="C31" s="44">
        <f>IF(LEN(VLOOKUP(A31,'Species List'!$A:$G,3,FALSE))=0,"",VLOOKUP(A31,'Species List'!$A:$G,3,FALSE))</f>
        <v>0</v>
      </c>
      <c r="D31" s="98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UPL</v>
      </c>
      <c r="H31" s="44">
        <f>VLOOKUP(A31,'Species List'!$A:$G,7,FALSE)</f>
        <v>0</v>
      </c>
      <c r="J31" s="127" t="s">
        <v>5387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1.3824884792626729E-2</v>
      </c>
      <c r="O31" s="97">
        <f t="shared" si="6"/>
        <v>0</v>
      </c>
    </row>
    <row r="32" spans="1:15" ht="13.5" thickBot="1" x14ac:dyDescent="0.25">
      <c r="A32" s="127" t="s">
        <v>3095</v>
      </c>
      <c r="B32" s="44" t="str">
        <f>IF(LEN(VLOOKUP(A32,'Species List'!$A:$G,2,FALSE))=0,"",VLOOKUP(A32,'Species List'!$A:$G,2,FALSE))</f>
        <v>sensitive fern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</v>
      </c>
      <c r="H32" s="44">
        <f>VLOOKUP(A32,'Species List'!$A:$G,7,FALSE)</f>
        <v>0</v>
      </c>
      <c r="J32" s="127" t="s">
        <v>5387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1.3824884792626729E-2</v>
      </c>
      <c r="O32" s="97">
        <f t="shared" si="6"/>
        <v>5.5299539170506916E-2</v>
      </c>
    </row>
    <row r="33" spans="1:15" ht="13.5" thickBot="1" x14ac:dyDescent="0.25">
      <c r="A33" s="127" t="s">
        <v>2132</v>
      </c>
      <c r="B33" s="44" t="str">
        <f>IF(LEN(VLOOKUP(A33,'Species List'!$A:$G,2,FALSE))=0,"",VLOOKUP(A33,'Species List'!$A:$G,2,FALSE))</f>
        <v>common strawberry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FAC-</v>
      </c>
      <c r="H33" s="44">
        <f>VLOOKUP(A33,'Species List'!$A:$G,7,FALSE)</f>
        <v>0</v>
      </c>
      <c r="J33" s="127" t="s">
        <v>5387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1.3824884792626729E-2</v>
      </c>
      <c r="O33" s="97">
        <f t="shared" si="6"/>
        <v>2.7649769585253458E-2</v>
      </c>
    </row>
    <row r="34" spans="1:15" ht="13.5" thickBot="1" x14ac:dyDescent="0.25">
      <c r="A34" s="127" t="s">
        <v>461</v>
      </c>
      <c r="B34" s="44" t="str">
        <f>IF(LEN(VLOOKUP(A34,'Species List'!$A:$G,2,FALSE))=0,"",VLOOKUP(A34,'Species List'!$A:$G,2,FALSE))</f>
        <v>common burdock</v>
      </c>
      <c r="C34" s="44">
        <f>IF(LEN(VLOOKUP(A34,'Species List'!$A:$G,3,FALSE))=0,"",VLOOKUP(A34,'Species List'!$A:$G,3,FALSE))</f>
        <v>0</v>
      </c>
      <c r="D34" s="98">
        <f t="shared" si="4"/>
        <v>0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Introduced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27" t="s">
        <v>5387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1.3824884792626729E-2</v>
      </c>
      <c r="O34" s="97">
        <f t="shared" si="6"/>
        <v>0</v>
      </c>
    </row>
    <row r="35" spans="1:15" ht="13.5" thickBot="1" x14ac:dyDescent="0.25">
      <c r="A35" s="127" t="s">
        <v>5410</v>
      </c>
      <c r="B35" s="44" t="str">
        <f>IF(LEN(VLOOKUP(A35,'Species List'!$A:$G,2,FALSE))=0,"",VLOOKUP(A35,'Species List'!$A:$G,2,FALSE))</f>
        <v>Periwinkle</v>
      </c>
      <c r="C35" s="44">
        <f>IF(LEN(VLOOKUP(A35,'Species List'!$A:$G,3,FALSE))=0,"",VLOOKUP(A35,'Species List'!$A:$G,3,FALSE))</f>
        <v>0</v>
      </c>
      <c r="D35" s="98">
        <f t="shared" si="4"/>
        <v>0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27">
        <v>2</v>
      </c>
      <c r="K35" s="47" t="str">
        <f>VLOOKUP(J35,'Species List'!$H$1:$J$9,2,FALSE)</f>
        <v>&gt;5-25%</v>
      </c>
      <c r="L35" s="47">
        <f>VLOOKUP(K35,'Species List'!$I$1:$N$8,2,FALSE)</f>
        <v>15</v>
      </c>
      <c r="M35" s="99">
        <f t="shared" si="5"/>
        <v>15</v>
      </c>
      <c r="N35" s="97">
        <f t="shared" si="2"/>
        <v>6.9124423963133647E-2</v>
      </c>
      <c r="O35" s="97">
        <f t="shared" si="6"/>
        <v>0</v>
      </c>
    </row>
    <row r="36" spans="1:15" ht="13.5" thickBot="1" x14ac:dyDescent="0.25">
      <c r="A36" s="127" t="s">
        <v>3385</v>
      </c>
      <c r="B36" s="44" t="str">
        <f>IF(LEN(VLOOKUP(A36,'Species List'!$A:$G,2,FALSE))=0,"",VLOOKUP(A36,'Species List'!$A:$G,2,FALSE))</f>
        <v>Rugel's plantain</v>
      </c>
      <c r="C36" s="44">
        <f>IF(LEN(VLOOKUP(A36,'Species List'!$A:$G,3,FALSE))=0,"",VLOOKUP(A36,'Species List'!$A:$G,3,FALSE))</f>
        <v>0</v>
      </c>
      <c r="D36" s="98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[FAC]</v>
      </c>
      <c r="H36" s="44">
        <f>VLOOKUP(A36,'Species List'!$A:$G,7,FALSE)</f>
        <v>0</v>
      </c>
      <c r="J36" s="127" t="s">
        <v>5389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97">
        <f t="shared" si="2"/>
        <v>2.304147465437788E-3</v>
      </c>
      <c r="O36" s="97">
        <f t="shared" si="6"/>
        <v>0</v>
      </c>
    </row>
    <row r="37" spans="1:15" ht="13.5" thickBot="1" x14ac:dyDescent="0.25">
      <c r="A37" s="127" t="s">
        <v>5423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/>
      </c>
      <c r="H37" s="44">
        <f>VLOOKUP(A37,'Species List'!$A:$G,7,FALSE)</f>
        <v>0</v>
      </c>
      <c r="J37" s="127" t="s">
        <v>5387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1.3824884792626729E-2</v>
      </c>
      <c r="O37" s="97">
        <f t="shared" si="6"/>
        <v>5.5299539170506916E-2</v>
      </c>
    </row>
    <row r="38" spans="1:15" ht="13.5" thickBot="1" x14ac:dyDescent="0.25">
      <c r="A38" s="127" t="s">
        <v>3873</v>
      </c>
      <c r="B38" s="44" t="str">
        <f>IF(LEN(VLOOKUP(A38,'Species List'!$A:$G,2,FALSE))=0,"",VLOOKUP(A38,'Species List'!$A:$G,2,FALSE))</f>
        <v>black-eyed susan</v>
      </c>
      <c r="C38" s="44">
        <f>IF(LEN(VLOOKUP(A38,'Species List'!$A:$G,3,FALSE))=0,"",VLOOKUP(A38,'Species List'!$A:$G,3,FALSE))</f>
        <v>4</v>
      </c>
      <c r="D38" s="98">
        <f t="shared" si="4"/>
        <v>4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127" t="s">
        <v>5387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1.3824884792626729E-2</v>
      </c>
      <c r="O38" s="97">
        <f t="shared" si="6"/>
        <v>5.5299539170506916E-2</v>
      </c>
    </row>
    <row r="39" spans="1:15" ht="13.5" thickBot="1" x14ac:dyDescent="0.25">
      <c r="A39" s="127" t="s">
        <v>3615</v>
      </c>
      <c r="B39" s="44" t="str">
        <f>IF(LEN(VLOOKUP(A39,'Species List'!$A:$G,2,FALSE))=0,"",VLOOKUP(A39,'Species List'!$A:$G,2,FALSE))</f>
        <v>rough-fruited cinquefoil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7" t="s">
        <v>5387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1.3824884792626729E-2</v>
      </c>
      <c r="O39" s="97">
        <f t="shared" si="6"/>
        <v>0</v>
      </c>
    </row>
    <row r="40" spans="1:15" ht="13.5" thickBot="1" x14ac:dyDescent="0.25">
      <c r="A40" s="127" t="s">
        <v>1655</v>
      </c>
      <c r="B40" s="44" t="str">
        <f>IF(LEN(VLOOKUP(A40,'Species List'!$A:$G,2,FALSE))=0,"",VLOOKUP(A40,'Species List'!$A:$G,2,FALSE))</f>
        <v>pointed-leaved tick trefoil</v>
      </c>
      <c r="C40" s="44">
        <f>IF(LEN(VLOOKUP(A40,'Species List'!$A:$G,3,FALSE))=0,"",VLOOKUP(A40,'Species List'!$A:$G,3,FALSE))</f>
        <v>6</v>
      </c>
      <c r="D40" s="98">
        <f t="shared" si="4"/>
        <v>6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/>
      </c>
      <c r="H40" s="44">
        <f>VLOOKUP(A40,'Species List'!$A:$G,7,FALSE)</f>
        <v>0</v>
      </c>
      <c r="J40" s="127" t="s">
        <v>5387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1.3824884792626729E-2</v>
      </c>
      <c r="O40" s="97">
        <f t="shared" si="6"/>
        <v>8.294930875576037E-2</v>
      </c>
    </row>
    <row r="41" spans="1:15" ht="13.5" thickBot="1" x14ac:dyDescent="0.25">
      <c r="A41" s="127" t="s">
        <v>245</v>
      </c>
      <c r="B41" s="44" t="str">
        <f>IF(LEN(VLOOKUP(A41,'Species List'!$A:$G,2,FALSE))=0,"",VLOOKUP(A41,'Species List'!$A:$G,2,FALSE))</f>
        <v>roadside agrimony</v>
      </c>
      <c r="C41" s="44">
        <f>IF(LEN(VLOOKUP(A41,'Species List'!$A:$G,3,FALSE))=0,"",VLOOKUP(A41,'Species List'!$A:$G,3,FALSE))</f>
        <v>3</v>
      </c>
      <c r="D41" s="98">
        <f t="shared" si="4"/>
        <v>3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FAC-</v>
      </c>
      <c r="H41" s="44">
        <f>VLOOKUP(A41,'Species List'!$A:$G,7,FALSE)</f>
        <v>0</v>
      </c>
      <c r="J41" s="127" t="s">
        <v>5389</v>
      </c>
      <c r="K41" s="47" t="str">
        <f>VLOOKUP(J41,'Species List'!$H$1:$J$9,2,FALSE)</f>
        <v>&gt;0-1%</v>
      </c>
      <c r="L41" s="47">
        <f>VLOOKUP(K41,'Species List'!$I$1:$N$8,2,FALSE)</f>
        <v>0.5</v>
      </c>
      <c r="M41" s="99">
        <f t="shared" si="5"/>
        <v>0.5</v>
      </c>
      <c r="N41" s="97">
        <f t="shared" si="2"/>
        <v>2.304147465437788E-3</v>
      </c>
      <c r="O41" s="97">
        <f t="shared" si="6"/>
        <v>6.9124423963133636E-3</v>
      </c>
    </row>
    <row r="42" spans="1:15" ht="13.5" thickBot="1" x14ac:dyDescent="0.25">
      <c r="A42" s="127" t="s">
        <v>4406</v>
      </c>
      <c r="B42" s="44" t="str">
        <f>IF(LEN(VLOOKUP(A42,'Species List'!$A:$G,2,FALSE))=0,"",VLOOKUP(A42,'Species List'!$A:$G,2,FALSE))</f>
        <v>panicled aster</v>
      </c>
      <c r="C42" s="44">
        <f>IF(LEN(VLOOKUP(A42,'Species List'!$A:$G,3,FALSE))=0,"",VLOOKUP(A42,'Species List'!$A:$G,3,FALSE))</f>
        <v>5</v>
      </c>
      <c r="D42" s="98">
        <f t="shared" si="4"/>
        <v>5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[FACW]</v>
      </c>
      <c r="H42" s="44">
        <f>VLOOKUP(A42,'Species List'!$A:$G,7,FALSE)</f>
        <v>0</v>
      </c>
      <c r="J42" s="127" t="s">
        <v>5387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1.3824884792626729E-2</v>
      </c>
      <c r="O42" s="97">
        <f t="shared" si="6"/>
        <v>6.9124423963133647E-2</v>
      </c>
    </row>
    <row r="43" spans="1:15" ht="13.5" thickBot="1" x14ac:dyDescent="0.25">
      <c r="A43" s="127" t="s">
        <v>3701</v>
      </c>
      <c r="B43" s="44" t="str">
        <f>IF(LEN(VLOOKUP(A43,'Species List'!$A:$G,2,FALSE))=0,"",VLOOKUP(A43,'Species List'!$A:$G,2,FALSE))</f>
        <v>kidney-leaved buttercup</v>
      </c>
      <c r="C43" s="44">
        <f>IF(LEN(VLOOKUP(A43,'Species List'!$A:$G,3,FALSE))=0,"",VLOOKUP(A43,'Species List'!$A:$G,3,FALSE))</f>
        <v>1</v>
      </c>
      <c r="D43" s="98">
        <f t="shared" si="4"/>
        <v>1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Native</v>
      </c>
      <c r="G43" s="44" t="str">
        <f>IF(LEN(VLOOKUP(A43,'Species List'!$A:$G,6,FALSE))=0,"",VLOOKUP(A43,'Species List'!$A:$G,6,FALSE))</f>
        <v>FACW-</v>
      </c>
      <c r="H43" s="44">
        <f>VLOOKUP(A43,'Species List'!$A:$G,7,FALSE)</f>
        <v>0</v>
      </c>
      <c r="J43" s="127" t="s">
        <v>5387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1.3824884792626729E-2</v>
      </c>
      <c r="O43" s="97">
        <f t="shared" si="6"/>
        <v>1.3824884792626729E-2</v>
      </c>
    </row>
    <row r="44" spans="1:15" ht="13.5" thickBot="1" x14ac:dyDescent="0.25">
      <c r="A44" s="127" t="s">
        <v>3257</v>
      </c>
      <c r="B44" s="44" t="str">
        <f>IF(LEN(VLOOKUP(A44,'Species List'!$A:$G,2,FALSE))=0,"",VLOOKUP(A44,'Species List'!$A:$G,2,FALSE))</f>
        <v>lady's thumb</v>
      </c>
      <c r="C44" s="44">
        <f>IF(LEN(VLOOKUP(A44,'Species List'!$A:$G,3,FALSE))=0,"",VLOOKUP(A44,'Species List'!$A:$G,3,FALSE))</f>
        <v>0</v>
      </c>
      <c r="D44" s="98">
        <f t="shared" si="4"/>
        <v>0</v>
      </c>
      <c r="E44" s="44" t="str">
        <f>IF(LEN(VLOOKUP(A44,'Species List'!$A:$G,4,FALSE))=0,"",VLOOKUP(A44,'Species List'!$A:$G,4,FALSE))</f>
        <v>H</v>
      </c>
      <c r="F44" s="44" t="str">
        <f>IF(LEN(VLOOKUP(A44,'Species List'!$A:$G,5,FALSE))=0,"",VLOOKUP(A44,'Species List'!$A:$G,5,FALSE))</f>
        <v>Introduced</v>
      </c>
      <c r="G44" s="44" t="str">
        <f>IF(LEN(VLOOKUP(A44,'Species List'!$A:$G,6,FALSE))=0,"",VLOOKUP(A44,'Species List'!$A:$G,6,FALSE))</f>
        <v>FACW</v>
      </c>
      <c r="H44" s="44">
        <f>VLOOKUP(A44,'Species List'!$A:$G,7,FALSE)</f>
        <v>0</v>
      </c>
      <c r="J44" s="127" t="s">
        <v>5387</v>
      </c>
      <c r="K44" s="47" t="str">
        <f>VLOOKUP(J44,'Species List'!$H$1:$J$9,2,FALSE)</f>
        <v>&gt;1-5%</v>
      </c>
      <c r="L44" s="47">
        <f>VLOOKUP(K44,'Species List'!$I$1:$N$8,2,FALSE)</f>
        <v>3</v>
      </c>
      <c r="M44" s="99">
        <f t="shared" si="5"/>
        <v>3</v>
      </c>
      <c r="N44" s="97">
        <f t="shared" si="7"/>
        <v>1.3824884792626729E-2</v>
      </c>
      <c r="O44" s="97">
        <f t="shared" si="6"/>
        <v>0</v>
      </c>
    </row>
    <row r="45" spans="1:15" ht="13.5" thickBot="1" x14ac:dyDescent="0.25">
      <c r="A45" s="127" t="s">
        <v>4458</v>
      </c>
      <c r="B45" s="44" t="str">
        <f>IF(LEN(VLOOKUP(A45,'Species List'!$A:$G,2,FALSE))=0,"",VLOOKUP(A45,'Species List'!$A:$G,2,FALSE))</f>
        <v>common dandelion</v>
      </c>
      <c r="C45" s="44">
        <f>IF(LEN(VLOOKUP(A45,'Species List'!$A:$G,3,FALSE))=0,"",VLOOKUP(A45,'Species List'!$A:$G,3,FALSE))</f>
        <v>0</v>
      </c>
      <c r="D45" s="98">
        <f t="shared" si="4"/>
        <v>0</v>
      </c>
      <c r="E45" s="44" t="str">
        <f>IF(LEN(VLOOKUP(A45,'Species List'!$A:$G,4,FALSE))=0,"",VLOOKUP(A45,'Species List'!$A:$G,4,FALSE))</f>
        <v>H</v>
      </c>
      <c r="F45" s="44" t="str">
        <f>IF(LEN(VLOOKUP(A45,'Species List'!$A:$G,5,FALSE))=0,"",VLOOKUP(A45,'Species List'!$A:$G,5,FALSE))</f>
        <v>Introduced</v>
      </c>
      <c r="G45" s="44" t="str">
        <f>IF(LEN(VLOOKUP(A45,'Species List'!$A:$G,6,FALSE))=0,"",VLOOKUP(A45,'Species List'!$A:$G,6,FALSE))</f>
        <v>FACU</v>
      </c>
      <c r="H45" s="44">
        <f>VLOOKUP(A45,'Species List'!$A:$G,7,FALSE)</f>
        <v>0</v>
      </c>
      <c r="J45" s="127" t="s">
        <v>5387</v>
      </c>
      <c r="K45" s="47" t="str">
        <f>VLOOKUP(J45,'Species List'!$H$1:$J$9,2,FALSE)</f>
        <v>&gt;1-5%</v>
      </c>
      <c r="L45" s="47">
        <f>VLOOKUP(K45,'Species List'!$I$1:$N$8,2,FALSE)</f>
        <v>3</v>
      </c>
      <c r="M45" s="99">
        <f t="shared" si="5"/>
        <v>3</v>
      </c>
      <c r="N45" s="97">
        <f t="shared" si="7"/>
        <v>1.3824884792626729E-2</v>
      </c>
      <c r="O45" s="97">
        <f t="shared" si="6"/>
        <v>0</v>
      </c>
    </row>
    <row r="46" spans="1:15" ht="13.5" thickBot="1" x14ac:dyDescent="0.25">
      <c r="A46" s="127" t="s">
        <v>5450</v>
      </c>
      <c r="B46" s="44" t="str">
        <f>IF(LEN(VLOOKUP(A46,'Species List'!$A:$G,2,FALSE))=0,"",VLOOKUP(A46,'Species List'!$A:$G,2,FALSE))</f>
        <v/>
      </c>
      <c r="C46" s="44">
        <f>IF(LEN(VLOOKUP(A46,'Species List'!$A:$G,3,FALSE))=0,"",VLOOKUP(A46,'Species List'!$A:$G,3,FALSE))</f>
        <v>3</v>
      </c>
      <c r="D46" s="98">
        <f t="shared" si="4"/>
        <v>3</v>
      </c>
      <c r="E46" s="44" t="str">
        <f>IF(LEN(VLOOKUP(A46,'Species List'!$A:$G,4,FALSE))=0,"",VLOOKUP(A46,'Species List'!$A:$G,4,FALSE))</f>
        <v>H</v>
      </c>
      <c r="F46" s="44" t="str">
        <f>IF(LEN(VLOOKUP(A46,'Species List'!$A:$G,5,FALSE))=0,"",VLOOKUP(A46,'Species List'!$A:$G,5,FALSE))</f>
        <v>Native</v>
      </c>
      <c r="G46" s="44" t="str">
        <f>IF(LEN(VLOOKUP(A46,'Species List'!$A:$G,6,FALSE))=0,"",VLOOKUP(A46,'Species List'!$A:$G,6,FALSE))</f>
        <v/>
      </c>
      <c r="H46" s="44">
        <f>VLOOKUP(A46,'Species List'!$A:$G,7,FALSE)</f>
        <v>0</v>
      </c>
      <c r="J46" s="127" t="s">
        <v>5389</v>
      </c>
      <c r="K46" s="47" t="str">
        <f>VLOOKUP(J46,'Species List'!$H$1:$J$9,2,FALSE)</f>
        <v>&gt;0-1%</v>
      </c>
      <c r="L46" s="47">
        <f>VLOOKUP(K46,'Species List'!$I$1:$N$8,2,FALSE)</f>
        <v>0.5</v>
      </c>
      <c r="M46" s="99">
        <f t="shared" si="5"/>
        <v>0.5</v>
      </c>
      <c r="N46" s="97">
        <f t="shared" si="7"/>
        <v>2.304147465437788E-3</v>
      </c>
      <c r="O46" s="97">
        <f t="shared" si="6"/>
        <v>6.9124423963133636E-3</v>
      </c>
    </row>
    <row r="47" spans="1:15" ht="13.5" thickBot="1" x14ac:dyDescent="0.25">
      <c r="A47" s="127" t="s">
        <v>1371</v>
      </c>
      <c r="B47" s="44" t="str">
        <f>IF(LEN(VLOOKUP(A47,'Species List'!$A:$G,2,FALSE))=0,"",VLOOKUP(A47,'Species List'!$A:$G,2,FALSE))</f>
        <v>Canada thistle</v>
      </c>
      <c r="C47" s="44">
        <f>IF(LEN(VLOOKUP(A47,'Species List'!$A:$G,3,FALSE))=0,"",VLOOKUP(A47,'Species List'!$A:$G,3,FALSE))</f>
        <v>0</v>
      </c>
      <c r="D47" s="98">
        <f t="shared" si="4"/>
        <v>0</v>
      </c>
      <c r="E47" s="44" t="str">
        <f>IF(LEN(VLOOKUP(A47,'Species List'!$A:$G,4,FALSE))=0,"",VLOOKUP(A47,'Species List'!$A:$G,4,FALSE))</f>
        <v>H</v>
      </c>
      <c r="F47" s="44" t="str">
        <f>IF(LEN(VLOOKUP(A47,'Species List'!$A:$G,5,FALSE))=0,"",VLOOKUP(A47,'Species List'!$A:$G,5,FALSE))</f>
        <v>Introduced</v>
      </c>
      <c r="G47" s="44" t="str">
        <f>IF(LEN(VLOOKUP(A47,'Species List'!$A:$G,6,FALSE))=0,"",VLOOKUP(A47,'Species List'!$A:$G,6,FALSE))</f>
        <v>FACU</v>
      </c>
      <c r="H47" s="44">
        <f>VLOOKUP(A47,'Species List'!$A:$G,7,FALSE)</f>
        <v>0</v>
      </c>
      <c r="J47" s="127" t="s">
        <v>5387</v>
      </c>
      <c r="K47" s="47" t="str">
        <f>VLOOKUP(J47,'Species List'!$H$1:$J$9,2,FALSE)</f>
        <v>&gt;1-5%</v>
      </c>
      <c r="L47" s="47">
        <f>VLOOKUP(K47,'Species List'!$I$1:$N$8,2,FALSE)</f>
        <v>3</v>
      </c>
      <c r="M47" s="99">
        <f t="shared" si="5"/>
        <v>3</v>
      </c>
      <c r="N47" s="97">
        <f t="shared" si="7"/>
        <v>1.3824884792626729E-2</v>
      </c>
      <c r="O47" s="97">
        <f t="shared" si="6"/>
        <v>0</v>
      </c>
    </row>
    <row r="48" spans="1:15" ht="13.5" thickBot="1" x14ac:dyDescent="0.25">
      <c r="A48" s="127" t="s">
        <v>1418</v>
      </c>
      <c r="B48" s="44" t="str">
        <f>IF(LEN(VLOOKUP(A48,'Species List'!$A:$G,2,FALSE))=0,"",VLOOKUP(A48,'Species List'!$A:$G,2,FALSE))</f>
        <v>horseweed</v>
      </c>
      <c r="C48" s="44">
        <f>IF(LEN(VLOOKUP(A48,'Species List'!$A:$G,3,FALSE))=0,"",VLOOKUP(A48,'Species List'!$A:$G,3,FALSE))</f>
        <v>0</v>
      </c>
      <c r="D48" s="98">
        <f t="shared" si="4"/>
        <v>0</v>
      </c>
      <c r="E48" s="44" t="str">
        <f>IF(LEN(VLOOKUP(A48,'Species List'!$A:$G,4,FALSE))=0,"",VLOOKUP(A48,'Species List'!$A:$G,4,FALSE))</f>
        <v>H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[FAC-]</v>
      </c>
      <c r="H48" s="44">
        <f>VLOOKUP(A48,'Species List'!$A:$G,7,FALSE)</f>
        <v>0</v>
      </c>
      <c r="J48" s="127" t="s">
        <v>5387</v>
      </c>
      <c r="K48" s="47" t="str">
        <f>VLOOKUP(J48,'Species List'!$H$1:$J$9,2,FALSE)</f>
        <v>&gt;1-5%</v>
      </c>
      <c r="L48" s="47">
        <f>VLOOKUP(K48,'Species List'!$I$1:$N$8,2,FALSE)</f>
        <v>3</v>
      </c>
      <c r="M48" s="99">
        <f t="shared" si="5"/>
        <v>3</v>
      </c>
      <c r="N48" s="97">
        <f t="shared" si="7"/>
        <v>1.3824884792626729E-2</v>
      </c>
      <c r="O48" s="97">
        <f t="shared" si="6"/>
        <v>0</v>
      </c>
    </row>
    <row r="49" spans="1:15" ht="13.5" thickBot="1" x14ac:dyDescent="0.25">
      <c r="A49" s="127" t="s">
        <v>4202</v>
      </c>
      <c r="B49" s="44" t="str">
        <f>IF(LEN(VLOOKUP(A49,'Species List'!$A:$G,2,FALSE))=0,"",VLOOKUP(A49,'Species List'!$A:$G,2,FALSE))</f>
        <v>late goldenrod</v>
      </c>
      <c r="C49" s="44">
        <f>IF(LEN(VLOOKUP(A49,'Species List'!$A:$G,3,FALSE))=0,"",VLOOKUP(A49,'Species List'!$A:$G,3,FALSE))</f>
        <v>1</v>
      </c>
      <c r="D49" s="98">
        <f t="shared" si="4"/>
        <v>1</v>
      </c>
      <c r="E49" s="44" t="str">
        <f>IF(LEN(VLOOKUP(A49,'Species List'!$A:$G,4,FALSE))=0,"",VLOOKUP(A49,'Species List'!$A:$G,4,FALSE))</f>
        <v>H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>FACU</v>
      </c>
      <c r="H49" s="44">
        <f>VLOOKUP(A49,'Species List'!$A:$G,7,FALSE)</f>
        <v>0</v>
      </c>
      <c r="J49" s="127" t="s">
        <v>5387</v>
      </c>
      <c r="K49" s="47" t="str">
        <f>VLOOKUP(J49,'Species List'!$H$1:$J$9,2,FALSE)</f>
        <v>&gt;1-5%</v>
      </c>
      <c r="L49" s="47">
        <f>VLOOKUP(K49,'Species List'!$I$1:$N$8,2,FALSE)</f>
        <v>3</v>
      </c>
      <c r="M49" s="99">
        <f t="shared" si="5"/>
        <v>3</v>
      </c>
      <c r="N49" s="97">
        <f t="shared" si="7"/>
        <v>1.3824884792626729E-2</v>
      </c>
      <c r="O49" s="97">
        <f t="shared" si="6"/>
        <v>1.3824884792626729E-2</v>
      </c>
    </row>
    <row r="50" spans="1:15" ht="13.5" thickBot="1" x14ac:dyDescent="0.25">
      <c r="A50" s="127" t="s">
        <v>1373</v>
      </c>
      <c r="B50" s="44" t="str">
        <f>IF(LEN(VLOOKUP(A50,'Species List'!$A:$G,2,FALSE))=0,"",VLOOKUP(A50,'Species List'!$A:$G,2,FALSE))</f>
        <v>field thistle</v>
      </c>
      <c r="C50" s="44">
        <f>IF(LEN(VLOOKUP(A50,'Species List'!$A:$G,3,FALSE))=0,"",VLOOKUP(A50,'Species List'!$A:$G,3,FALSE))</f>
        <v>4</v>
      </c>
      <c r="D50" s="98">
        <f t="shared" si="4"/>
        <v>4</v>
      </c>
      <c r="E50" s="44" t="str">
        <f>IF(LEN(VLOOKUP(A50,'Species List'!$A:$G,4,FALSE))=0,"",VLOOKUP(A50,'Species List'!$A:$G,4,FALSE))</f>
        <v>H</v>
      </c>
      <c r="F50" s="44" t="str">
        <f>IF(LEN(VLOOKUP(A50,'Species List'!$A:$G,5,FALSE))=0,"",VLOOKUP(A50,'Species List'!$A:$G,5,FALSE))</f>
        <v>Native</v>
      </c>
      <c r="G50" s="44" t="str">
        <f>IF(LEN(VLOOKUP(A50,'Species List'!$A:$G,6,FALSE))=0,"",VLOOKUP(A50,'Species List'!$A:$G,6,FALSE))</f>
        <v>FACU</v>
      </c>
      <c r="H50" s="44">
        <f>VLOOKUP(A50,'Species List'!$A:$G,7,FALSE)</f>
        <v>0</v>
      </c>
      <c r="J50" s="127" t="s">
        <v>5389</v>
      </c>
      <c r="K50" s="47" t="str">
        <f>VLOOKUP(J50,'Species List'!$H$1:$J$9,2,FALSE)</f>
        <v>&gt;0-1%</v>
      </c>
      <c r="L50" s="47">
        <f>VLOOKUP(K50,'Species List'!$I$1:$N$8,2,FALSE)</f>
        <v>0.5</v>
      </c>
      <c r="M50" s="99">
        <f t="shared" si="5"/>
        <v>0.5</v>
      </c>
      <c r="N50" s="97">
        <f t="shared" si="7"/>
        <v>2.304147465437788E-3</v>
      </c>
      <c r="O50" s="97">
        <f t="shared" si="6"/>
        <v>9.2165898617511521E-3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1" t="s">
        <v>5356</v>
      </c>
      <c r="J150" s="152"/>
      <c r="K150" s="153"/>
      <c r="L150" s="63">
        <f>SUMIF(L10:L149,"&gt;=0")</f>
        <v>217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21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9" t="s">
        <v>127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0"/>
      <c r="C7" s="150"/>
      <c r="D7" s="150"/>
      <c r="E7" s="150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27" t="s">
        <v>2970</v>
      </c>
      <c r="B10" s="44" t="str">
        <f>IF(LEN(VLOOKUP(A10,'Species List'!$A:$G,2,FALSE))=0,"",VLOOKUP(A10,'Species List'!$A:$G,2,FALSE))</f>
        <v>Mexican muhly grass</v>
      </c>
      <c r="C10" s="44">
        <f>IF(LEN(VLOOKUP(A10,'Species List'!$A:$G,3,FALSE))=0,"",VLOOKUP(A10,'Species List'!$A:$G,3,FALSE))</f>
        <v>3</v>
      </c>
      <c r="D10" s="98">
        <f t="shared" ref="D10:D18" si="0">VALUE(C10)</f>
        <v>3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27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5">
        <f t="shared" ref="N10:N75" si="2">L10/$L$151</f>
        <v>0.32967032967032966</v>
      </c>
      <c r="O10" s="105">
        <f t="shared" ref="O10:O76" si="3">D10*N10</f>
        <v>0.98901098901098905</v>
      </c>
    </row>
    <row r="11" spans="1:15" ht="13.5" thickBot="1" x14ac:dyDescent="0.25">
      <c r="A11" s="127" t="s">
        <v>1869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27" t="s">
        <v>5387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5">
        <f t="shared" si="2"/>
        <v>6.5934065934065936E-2</v>
      </c>
      <c r="O11" s="105">
        <f t="shared" si="3"/>
        <v>0.19780219780219782</v>
      </c>
    </row>
    <row r="12" spans="1:15" ht="13.5" thickBot="1" x14ac:dyDescent="0.25">
      <c r="A12" s="127" t="s">
        <v>259</v>
      </c>
      <c r="B12" s="44" t="str">
        <f>IF(LEN(VLOOKUP(A12,'Species List'!$A:$G,2,FALSE))=0,"",VLOOKUP(A12,'Species List'!$A:$G,2,FALSE))</f>
        <v>rough bentgrass</v>
      </c>
      <c r="C12" s="44">
        <f>IF(LEN(VLOOKUP(A12,'Species List'!$A:$G,3,FALSE))=0,"",VLOOKUP(A12,'Species List'!$A:$G,3,FALSE))</f>
        <v>2</v>
      </c>
      <c r="D12" s="98">
        <f t="shared" si="0"/>
        <v>2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27" t="s">
        <v>5387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4">
        <f t="shared" si="2"/>
        <v>6.5934065934065936E-2</v>
      </c>
      <c r="O12" s="104">
        <f t="shared" si="3"/>
        <v>0.13186813186813187</v>
      </c>
    </row>
    <row r="13" spans="1:15" ht="13.5" thickBot="1" x14ac:dyDescent="0.25">
      <c r="A13" s="127" t="s">
        <v>3282</v>
      </c>
      <c r="B13" s="44" t="str">
        <f>IF(LEN(VLOOKUP(A13,'Species List'!$A:$G,2,FALSE))=0,"",VLOOKUP(A13,'Species List'!$A:$G,2,FALSE))</f>
        <v>reed canary 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FACW+</v>
      </c>
      <c r="H13" s="44">
        <f>VLOOKUP(A13,'Species List'!$A:$G,7,FALSE)</f>
        <v>0</v>
      </c>
      <c r="J13" s="127" t="s">
        <v>5387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6.5934065934065936E-2</v>
      </c>
      <c r="O13" s="97">
        <f t="shared" si="3"/>
        <v>0</v>
      </c>
    </row>
    <row r="14" spans="1:15" ht="13.5" thickBot="1" x14ac:dyDescent="0.25">
      <c r="A14" s="127" t="s">
        <v>805</v>
      </c>
      <c r="B14" s="44" t="str">
        <f>IF(LEN(VLOOKUP(A14,'Species List'!$A:$G,2,FALSE))=0,"",VLOOKUP(A14,'Species List'!$A:$G,2,FALSE))</f>
        <v>bluejoint</v>
      </c>
      <c r="C14" s="44">
        <f>IF(LEN(VLOOKUP(A14,'Species List'!$A:$G,3,FALSE))=0,"",VLOOKUP(A14,'Species List'!$A:$G,3,FALSE))</f>
        <v>4</v>
      </c>
      <c r="D14" s="98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127" t="s">
        <v>5387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6.5934065934065936E-2</v>
      </c>
      <c r="O14" s="97">
        <f t="shared" si="3"/>
        <v>0.26373626373626374</v>
      </c>
    </row>
    <row r="15" spans="1:15" ht="13.5" thickBot="1" x14ac:dyDescent="0.25">
      <c r="A15" s="127" t="s">
        <v>1887</v>
      </c>
      <c r="B15" s="44" t="str">
        <f>IF(LEN(VLOOKUP(A15,'Species List'!$A:$G,2,FALSE))=0,"",VLOOKUP(A15,'Species List'!$A:$G,2,FALSE))</f>
        <v>downy wild rye</v>
      </c>
      <c r="C15" s="44">
        <f>IF(LEN(VLOOKUP(A15,'Species List'!$A:$G,3,FALSE))=0,"",VLOOKUP(A15,'Species List'!$A:$G,3,FALSE))</f>
        <v>5</v>
      </c>
      <c r="D15" s="98">
        <f t="shared" si="0"/>
        <v>5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7" t="s">
        <v>5387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6.5934065934065936E-2</v>
      </c>
      <c r="O15" s="97">
        <f t="shared" si="3"/>
        <v>0.32967032967032966</v>
      </c>
    </row>
    <row r="16" spans="1:15" ht="13.5" thickBot="1" x14ac:dyDescent="0.25">
      <c r="A16" s="127" t="s">
        <v>5433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8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7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1"/>
        <v>3</v>
      </c>
      <c r="N16" s="97">
        <f t="shared" si="2"/>
        <v>6.5934065934065936E-2</v>
      </c>
      <c r="O16" s="97">
        <f t="shared" si="3"/>
        <v>0.19780219780219782</v>
      </c>
    </row>
    <row r="17" spans="1:15" ht="13.5" thickBot="1" x14ac:dyDescent="0.25">
      <c r="A17" s="127" t="s">
        <v>1889</v>
      </c>
      <c r="B17" s="44" t="str">
        <f>IF(LEN(VLOOKUP(A17,'Species List'!$A:$G,2,FALSE))=0,"",VLOOKUP(A17,'Species List'!$A:$G,2,FALSE))</f>
        <v>Virginia wildrye</v>
      </c>
      <c r="C17" s="44">
        <f>IF(LEN(VLOOKUP(A17,'Species List'!$A:$G,3,FALSE))=0,"",VLOOKUP(A17,'Species List'!$A:$G,3,FALSE))</f>
        <v>4</v>
      </c>
      <c r="D17" s="98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27" t="s">
        <v>5387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6.5934065934065936E-2</v>
      </c>
      <c r="O17" s="97">
        <f t="shared" si="3"/>
        <v>0.26373626373626374</v>
      </c>
    </row>
    <row r="18" spans="1:15" ht="13.5" thickBot="1" x14ac:dyDescent="0.25">
      <c r="A18" s="127" t="s">
        <v>1877</v>
      </c>
      <c r="B18" s="44" t="str">
        <f>IF(LEN(VLOOKUP(A18,'Species List'!$A:$G,2,FALSE))=0,"",VLOOKUP(A18,'Species List'!$A:$G,2,FALSE))</f>
        <v>bottlebrush grass</v>
      </c>
      <c r="C18" s="44">
        <f>IF(LEN(VLOOKUP(A18,'Species List'!$A:$G,3,FALSE))=0,"",VLOOKUP(A18,'Species List'!$A:$G,3,FALSE))</f>
        <v>6</v>
      </c>
      <c r="D18" s="98">
        <f t="shared" si="0"/>
        <v>6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7" t="s">
        <v>5387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6.5934065934065936E-2</v>
      </c>
      <c r="O18" s="97">
        <f t="shared" si="3"/>
        <v>0.39560439560439564</v>
      </c>
    </row>
    <row r="19" spans="1:15" ht="13.5" thickBot="1" x14ac:dyDescent="0.25">
      <c r="A19" s="127" t="s">
        <v>791</v>
      </c>
      <c r="B19" s="44" t="str">
        <f>IF(LEN(VLOOKUP(A19,'Species List'!$A:$G,2,FALSE))=0,"",VLOOKUP(A19,'Species List'!$A:$G,2,FALSE))</f>
        <v>hairy brome</v>
      </c>
      <c r="C19" s="44">
        <f>IF(LEN(VLOOKUP(A19,'Species List'!$A:$G,3,FALSE))=0,"",VLOOKUP(A19,'Species List'!$A:$G,3,FALSE))</f>
        <v>6</v>
      </c>
      <c r="D19" s="98">
        <f t="shared" ref="D19:D76" si="4">VALUE(C19)</f>
        <v>6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27" t="s">
        <v>5387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6.5934065934065936E-2</v>
      </c>
      <c r="O19" s="97">
        <f t="shared" si="3"/>
        <v>0.39560439560439564</v>
      </c>
    </row>
    <row r="20" spans="1:15" ht="13.5" thickBot="1" x14ac:dyDescent="0.25">
      <c r="A20" s="128" t="s">
        <v>789</v>
      </c>
      <c r="B20" s="44" t="str">
        <f>IF(LEN(VLOOKUP(A20,'Species List'!$A:$G,2,FALSE))=0,"",VLOOKUP(A20,'Species List'!$A:$G,2,FALSE))</f>
        <v>broad-glumed brome</v>
      </c>
      <c r="C20" s="44">
        <f>IF(LEN(VLOOKUP(A20,'Species List'!$A:$G,3,FALSE))=0,"",VLOOKUP(A20,'Species List'!$A:$G,3,FALSE))</f>
        <v>6</v>
      </c>
      <c r="D20" s="98">
        <f t="shared" si="4"/>
        <v>6</v>
      </c>
      <c r="E20" s="44" t="str">
        <f>IF(LEN(VLOOKUP(A20,'Species List'!$A:$G,4,FALSE))=0,"",VLOOKUP(A20,'Species List'!$A:$G,4,FALSE))</f>
        <v>G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FACW-</v>
      </c>
      <c r="H20" s="44">
        <f>VLOOKUP(A20,'Species List'!$A:$G,7,FALSE)</f>
        <v>0</v>
      </c>
      <c r="J20" s="127" t="s">
        <v>5389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1"/>
        <v>0.5</v>
      </c>
      <c r="N20" s="97">
        <f t="shared" si="2"/>
        <v>1.098901098901099E-2</v>
      </c>
      <c r="O20" s="97">
        <f t="shared" si="3"/>
        <v>6.5934065934065936E-2</v>
      </c>
    </row>
    <row r="21" spans="1:15" ht="13.5" thickBot="1" x14ac:dyDescent="0.25">
      <c r="A21" s="127" t="s">
        <v>2616</v>
      </c>
      <c r="B21" s="44" t="str">
        <f>IF(LEN(VLOOKUP(A21,'Species List'!$A:$G,2,FALSE))=0,"",VLOOKUP(A21,'Species List'!$A:$G,2,FALSE))</f>
        <v>white grass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</v>
      </c>
      <c r="H21" s="44">
        <f>VLOOKUP(A21,'Species List'!$A:$G,7,FALSE)</f>
        <v>0</v>
      </c>
      <c r="J21" s="127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1"/>
        <v>3</v>
      </c>
      <c r="N21" s="97">
        <f t="shared" si="2"/>
        <v>6.5934065934065936E-2</v>
      </c>
      <c r="O21" s="97">
        <f t="shared" si="3"/>
        <v>0.32967032967032966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1" t="s">
        <v>5356</v>
      </c>
      <c r="J151" s="152"/>
      <c r="K151" s="153"/>
      <c r="L151" s="63">
        <f>SUMIF(L10:L150,"&gt;=0")</f>
        <v>45.5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403C-5D62-49BA-89BA-B369FC5D20ED}">
  <sheetPr codeName="Sheet8"/>
  <dimension ref="A1:A67"/>
  <sheetViews>
    <sheetView workbookViewId="0">
      <selection activeCell="F1" sqref="F1:F1048576"/>
    </sheetView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4" t="s">
        <v>4829</v>
      </c>
      <c r="B1" s="154"/>
      <c r="C1" s="154"/>
      <c r="D1" s="154"/>
      <c r="E1" s="154"/>
      <c r="F1" s="154"/>
    </row>
    <row r="2" spans="1:6" s="31" customFormat="1" ht="24" customHeight="1" thickTop="1" thickBot="1" x14ac:dyDescent="0.4">
      <c r="A2" s="55"/>
      <c r="B2" s="56" t="s">
        <v>5399</v>
      </c>
      <c r="C2" s="56" t="s">
        <v>5395</v>
      </c>
      <c r="D2" s="56" t="s">
        <v>5396</v>
      </c>
      <c r="E2" s="56" t="s">
        <v>5397</v>
      </c>
      <c r="F2" s="56" t="s">
        <v>5398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5390</v>
      </c>
      <c r="B4" s="101">
        <f>COUNTIF(Woody!$F$10:$F$149,"Native")</f>
        <v>18</v>
      </c>
      <c r="C4" s="101">
        <f>COUNTIF(Forbs!$F$10:$F$147,"Native")</f>
        <v>32</v>
      </c>
      <c r="D4" s="101">
        <f>COUNTIF(Grasses!$F$10:$F$149,"Native")</f>
        <v>11</v>
      </c>
      <c r="E4" s="101">
        <f>AVERAGE(B4:D4)</f>
        <v>20.333333333333332</v>
      </c>
      <c r="F4" s="101">
        <f>SUM(B4:D4)</f>
        <v>61</v>
      </c>
    </row>
    <row r="5" spans="1:6" ht="18" x14ac:dyDescent="0.25">
      <c r="A5" s="53" t="s">
        <v>4834</v>
      </c>
      <c r="B5" s="101">
        <f>COUNTIF(Woody!$F10:$F199,"Introduced")</f>
        <v>3</v>
      </c>
      <c r="C5" s="101">
        <f>COUNTIF(Forbs!$F10:$F198,"Introduced")</f>
        <v>9</v>
      </c>
      <c r="D5" s="101">
        <f>COUNTIF(Grasses!$F10:$F199,"Introduced")</f>
        <v>1</v>
      </c>
      <c r="E5" s="101">
        <f t="shared" ref="E5:E6" si="0">AVERAGE(B5:D5)</f>
        <v>4.333333333333333</v>
      </c>
      <c r="F5" s="101">
        <f>SUM(B5:D5)</f>
        <v>13</v>
      </c>
    </row>
    <row r="6" spans="1:6" s="81" customFormat="1" ht="21" x14ac:dyDescent="0.35">
      <c r="A6" s="53" t="s">
        <v>5391</v>
      </c>
      <c r="B6" s="101">
        <f>SUM(B4:B5)</f>
        <v>21</v>
      </c>
      <c r="C6" s="101">
        <f>SUM(C4:C5)</f>
        <v>41</v>
      </c>
      <c r="D6" s="101">
        <f>SUM(D4:D5)</f>
        <v>12</v>
      </c>
      <c r="E6" s="101">
        <f t="shared" si="0"/>
        <v>24.666666666666668</v>
      </c>
      <c r="F6" s="101">
        <f>SUM(B6:D6)</f>
        <v>74</v>
      </c>
    </row>
    <row r="7" spans="1:6" ht="18" x14ac:dyDescent="0.25">
      <c r="A7" s="53" t="s">
        <v>4835</v>
      </c>
      <c r="B7" s="101">
        <f>AVERAGEIF(Woody!D10:D150,"&gt;0")</f>
        <v>2.8888888888888888</v>
      </c>
      <c r="C7" s="101">
        <f>AVERAGEIF(Forbs!D10:D149,"&gt;0")</f>
        <v>3.3214285714285716</v>
      </c>
      <c r="D7" s="101">
        <f>AVERAGEIF(Grasses!D10:D150,"&gt;0")</f>
        <v>4.2727272727272725</v>
      </c>
      <c r="E7" s="101">
        <f>AVERAGE(B7:D7)</f>
        <v>3.4943482443482439</v>
      </c>
      <c r="F7" s="101">
        <f>(SUMIF(Woody!D10:D150,"&gt;0")+SUMIF(Forbs!D10:D149,"&gt;0")+SUMIF(Grasses!D10:D150,"&gt;0"))/(COUNTIF(Woody!D10:D150,"&gt;0")+COUNTIF(Forbs!D10:D149,"&gt;0")+COUNTIF(Grasses!D10:D150,"&gt;0"))</f>
        <v>3.3684210526315788</v>
      </c>
    </row>
    <row r="8" spans="1:6" s="31" customFormat="1" ht="21" x14ac:dyDescent="0.35">
      <c r="A8" s="53" t="s">
        <v>5392</v>
      </c>
      <c r="B8" s="101">
        <f>AVERAGEIF(Woody!D10:D150,"&gt;=0")</f>
        <v>2.4761904761904763</v>
      </c>
      <c r="C8" s="101">
        <f>AVERAGEIF(Forbs!D10:D149,"&gt;=0")</f>
        <v>2.2682926829268291</v>
      </c>
      <c r="D8" s="101">
        <f>AVERAGEIF(Grasses!D10:D150,"&gt;=0")</f>
        <v>3.9166666666666665</v>
      </c>
      <c r="E8" s="101">
        <f>AVERAGE(B8:D8)</f>
        <v>2.8870499419279905</v>
      </c>
      <c r="F8" s="101">
        <f>(SUMIF(Woody!D10:D150,"&gt;=0")+SUMIF(Forbs!D10:D149,"&gt;=0")+SUMIF(Grasses!D10:D150,"&gt;=0"))/(COUNTIF(Woody!D10:D150,"&gt;=0")+COUNTIF(Forbs!D10:D149,"&gt;=0")+COUNTIF(Grasses!D10:D150,"&gt;=0"))</f>
        <v>2.5945945945945947</v>
      </c>
    </row>
    <row r="9" spans="1:6" ht="18" x14ac:dyDescent="0.25">
      <c r="A9" s="53" t="s">
        <v>4828</v>
      </c>
      <c r="B9" s="101">
        <f>SQRT(B4)*B7</f>
        <v>12.256517540566822</v>
      </c>
      <c r="C9" s="101">
        <f>SQRT(C4)*C7</f>
        <v>18.788837328671121</v>
      </c>
      <c r="D9" s="101">
        <f>SQRT(D4)*D7</f>
        <v>14.171033195154889</v>
      </c>
      <c r="E9" s="101">
        <f>SQRT(E4)*E7</f>
        <v>15.756888957104433</v>
      </c>
      <c r="F9" s="101">
        <f>SQRT(F4)*F7</f>
        <v>26.308209434632939</v>
      </c>
    </row>
    <row r="10" spans="1:6" s="82" customFormat="1" ht="21" x14ac:dyDescent="0.35">
      <c r="A10" s="53" t="s">
        <v>5393</v>
      </c>
      <c r="B10" s="101">
        <f>SQRT(B6)*B8</f>
        <v>11.347330292271604</v>
      </c>
      <c r="C10" s="101">
        <f>SQRT(C6)*C8</f>
        <v>14.524159855640363</v>
      </c>
      <c r="D10" s="101">
        <f>SQRT(D6)*D8</f>
        <v>13.567731325956204</v>
      </c>
      <c r="E10" s="101">
        <f>SQRT(E6)*E8</f>
        <v>14.338691771703983</v>
      </c>
      <c r="F10" s="101">
        <f>SQRT(F6)*F8</f>
        <v>22.319546638813303</v>
      </c>
    </row>
    <row r="11" spans="1:6" ht="18" x14ac:dyDescent="0.25">
      <c r="A11" s="53" t="s">
        <v>4836</v>
      </c>
      <c r="B11" s="101">
        <f>SUMIF(Woody!$M$10:$M$150,"&gt;=0")</f>
        <v>135.5</v>
      </c>
      <c r="C11" s="101">
        <f>SUMIF(Forbs!$M$10:$M$150,"&gt;=0")</f>
        <v>217</v>
      </c>
      <c r="D11" s="101">
        <f>SUMIF(Grasses!$M$10:$M$150,"&gt;=0")</f>
        <v>45.5</v>
      </c>
      <c r="E11" s="101">
        <f>AVERAGE(B11:D11)</f>
        <v>132.66666666666666</v>
      </c>
      <c r="F11" s="101">
        <f>SUM(B11:D11)</f>
        <v>398</v>
      </c>
    </row>
    <row r="12" spans="1:6" ht="18" x14ac:dyDescent="0.25">
      <c r="A12" s="53" t="s">
        <v>5357</v>
      </c>
      <c r="B12" s="101">
        <f>SUMIF(Woody!$F$10:$F$150,"Introduced",Woody!$L$10:$L$150)</f>
        <v>21</v>
      </c>
      <c r="C12" s="101">
        <f>SUMIF(Forbs!$F$10:$F$150,"Introduced",Forbs!$L$10:$L$150)</f>
        <v>39</v>
      </c>
      <c r="D12" s="101">
        <f>SUMIF(Grasses!$F$10:$F$150,"Introduced",Grasses!$L$10:$L$150)</f>
        <v>3</v>
      </c>
      <c r="E12" s="101">
        <f>AVERAGE(B12:D12)</f>
        <v>21</v>
      </c>
      <c r="F12" s="101">
        <f>SUM(B12:D12)</f>
        <v>63</v>
      </c>
    </row>
    <row r="13" spans="1:6" ht="18.75" thickBot="1" x14ac:dyDescent="0.3">
      <c r="A13" s="54" t="s">
        <v>4837</v>
      </c>
      <c r="B13" s="102">
        <f>B12/B11</f>
        <v>0.15498154981549817</v>
      </c>
      <c r="C13" s="102">
        <f>C12/C11</f>
        <v>0.17972350230414746</v>
      </c>
      <c r="D13" s="102">
        <f>D12/D11</f>
        <v>6.5934065934065936E-2</v>
      </c>
      <c r="E13" s="102">
        <f>E12/E11</f>
        <v>0.15829145728643218</v>
      </c>
      <c r="F13" s="102">
        <f>F12/F11</f>
        <v>0.15829145728643215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2.5830258302583027</v>
      </c>
      <c r="C15" s="100">
        <f>SUMIF(Forbs!$O$10:$O$149,"&gt;=0")</f>
        <v>2.4930875576036873</v>
      </c>
      <c r="D15" s="100">
        <f>SUMIF(Grasses!$O$10:$O$150,"&gt;=0")</f>
        <v>3.5604395604395607</v>
      </c>
      <c r="E15" s="100">
        <f>AVERAGE(B15:D15)</f>
        <v>2.8788509827671835</v>
      </c>
      <c r="F15" s="101">
        <f>SUM(B15:D15)</f>
        <v>8.6365529483015511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2025-11-25T03:10:54Z</dcterms:modified>
</cp:coreProperties>
</file>