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0A0B011B-5C8C-4BCB-AEDE-3904955C3817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F11" i="10"/>
  <c r="F18" i="6"/>
  <c r="F19" i="6"/>
  <c r="F20" i="6"/>
  <c r="F21" i="6"/>
  <c r="F22" i="6"/>
  <c r="F23" i="6"/>
  <c r="F24" i="6"/>
  <c r="F25" i="6"/>
  <c r="D18" i="6"/>
  <c r="D19" i="6"/>
  <c r="D20" i="6"/>
  <c r="D21" i="6"/>
  <c r="D22" i="6"/>
  <c r="D23" i="6"/>
  <c r="D24" i="6"/>
  <c r="D25" i="6"/>
  <c r="D26" i="6"/>
  <c r="D48" i="10"/>
  <c r="D53" i="10"/>
  <c r="D25" i="9"/>
  <c r="B12" i="9"/>
  <c r="C12" i="9"/>
  <c r="D12" i="9" s="1"/>
  <c r="E12" i="9"/>
  <c r="F12" i="9"/>
  <c r="G12" i="9"/>
  <c r="H12" i="9"/>
  <c r="K12" i="9"/>
  <c r="L12" i="9" s="1"/>
  <c r="B18" i="9"/>
  <c r="C18" i="9"/>
  <c r="D18" i="9" s="1"/>
  <c r="E18" i="9"/>
  <c r="F18" i="9"/>
  <c r="G18" i="9"/>
  <c r="H18" i="9"/>
  <c r="K18" i="9"/>
  <c r="L18" i="9" s="1"/>
  <c r="M18" i="9" s="1"/>
  <c r="B15" i="9"/>
  <c r="C15" i="9"/>
  <c r="D15" i="9" s="1"/>
  <c r="E15" i="9"/>
  <c r="F15" i="9"/>
  <c r="G15" i="9"/>
  <c r="H15" i="9"/>
  <c r="K15" i="9"/>
  <c r="L15" i="9" s="1"/>
  <c r="M15" i="9" s="1"/>
  <c r="B14" i="9"/>
  <c r="C14" i="9"/>
  <c r="D14" i="9" s="1"/>
  <c r="E14" i="9"/>
  <c r="F14" i="9"/>
  <c r="G14" i="9"/>
  <c r="H14" i="9"/>
  <c r="K14" i="9"/>
  <c r="L14" i="9" s="1"/>
  <c r="B11" i="9"/>
  <c r="C11" i="9"/>
  <c r="D11" i="9" s="1"/>
  <c r="E11" i="9"/>
  <c r="F11" i="9"/>
  <c r="G11" i="9"/>
  <c r="H11" i="9"/>
  <c r="K11" i="9"/>
  <c r="L11" i="9" s="1"/>
  <c r="M11" i="9" s="1"/>
  <c r="B13" i="9"/>
  <c r="C13" i="9"/>
  <c r="D13" i="9" s="1"/>
  <c r="E13" i="9"/>
  <c r="F13" i="9"/>
  <c r="G13" i="9"/>
  <c r="H13" i="9"/>
  <c r="K13" i="9"/>
  <c r="L13" i="9" s="1"/>
  <c r="M13" i="9" s="1"/>
  <c r="B10" i="9"/>
  <c r="C10" i="9"/>
  <c r="D10" i="9" s="1"/>
  <c r="E10" i="9"/>
  <c r="F10" i="9"/>
  <c r="G10" i="9"/>
  <c r="H10" i="9"/>
  <c r="K10" i="9"/>
  <c r="L10" i="9" s="1"/>
  <c r="B16" i="9"/>
  <c r="C16" i="9"/>
  <c r="D16" i="9" s="1"/>
  <c r="E16" i="9"/>
  <c r="F16" i="9"/>
  <c r="G16" i="9"/>
  <c r="H16" i="9"/>
  <c r="K16" i="9"/>
  <c r="L16" i="9" s="1"/>
  <c r="M16" i="9" s="1"/>
  <c r="B17" i="9"/>
  <c r="C17" i="9"/>
  <c r="D17" i="9" s="1"/>
  <c r="E17" i="9"/>
  <c r="F17" i="9"/>
  <c r="G17" i="9"/>
  <c r="H17" i="9"/>
  <c r="K17" i="9"/>
  <c r="L17" i="9" s="1"/>
  <c r="M17" i="9" s="1"/>
  <c r="B19" i="9"/>
  <c r="C19" i="9"/>
  <c r="D19" i="9" s="1"/>
  <c r="E19" i="9"/>
  <c r="F19" i="9"/>
  <c r="G19" i="9"/>
  <c r="H19" i="9"/>
  <c r="K19" i="9"/>
  <c r="L19" i="9" s="1"/>
  <c r="B20" i="9"/>
  <c r="C20" i="9"/>
  <c r="D20" i="9" s="1"/>
  <c r="E20" i="9"/>
  <c r="F20" i="9"/>
  <c r="G20" i="9"/>
  <c r="H20" i="9"/>
  <c r="K20" i="9"/>
  <c r="L20" i="9" s="1"/>
  <c r="M20" i="9" s="1"/>
  <c r="B21" i="9"/>
  <c r="C21" i="9"/>
  <c r="D21" i="9" s="1"/>
  <c r="E21" i="9"/>
  <c r="F21" i="9"/>
  <c r="G21" i="9"/>
  <c r="H21" i="9"/>
  <c r="K21" i="9"/>
  <c r="L21" i="9" s="1"/>
  <c r="B22" i="9"/>
  <c r="C22" i="9"/>
  <c r="D22" i="9" s="1"/>
  <c r="E22" i="9"/>
  <c r="F22" i="9"/>
  <c r="G22" i="9"/>
  <c r="H22" i="9"/>
  <c r="K22" i="9"/>
  <c r="L22" i="9" s="1"/>
  <c r="M22" i="9" s="1"/>
  <c r="B23" i="9"/>
  <c r="C23" i="9"/>
  <c r="D23" i="9" s="1"/>
  <c r="E23" i="9"/>
  <c r="F23" i="9"/>
  <c r="G23" i="9"/>
  <c r="H23" i="9"/>
  <c r="K23" i="9"/>
  <c r="L23" i="9" s="1"/>
  <c r="B24" i="9"/>
  <c r="C24" i="9"/>
  <c r="D24" i="9" s="1"/>
  <c r="E24" i="9"/>
  <c r="F24" i="9"/>
  <c r="G24" i="9"/>
  <c r="H24" i="9"/>
  <c r="K24" i="9"/>
  <c r="L24" i="9" s="1"/>
  <c r="M24" i="9" s="1"/>
  <c r="B25" i="9"/>
  <c r="C25" i="9"/>
  <c r="E25" i="9"/>
  <c r="F25" i="9"/>
  <c r="G25" i="9"/>
  <c r="H25" i="9"/>
  <c r="K25" i="9"/>
  <c r="L25" i="9" s="1"/>
  <c r="B26" i="9"/>
  <c r="C26" i="9"/>
  <c r="D26" i="9" s="1"/>
  <c r="E26" i="9"/>
  <c r="F26" i="9"/>
  <c r="G26" i="9"/>
  <c r="H26" i="9"/>
  <c r="K26" i="9"/>
  <c r="L26" i="9" s="1"/>
  <c r="B27" i="9"/>
  <c r="C27" i="9"/>
  <c r="D27" i="9" s="1"/>
  <c r="E27" i="9"/>
  <c r="F27" i="9"/>
  <c r="G27" i="9"/>
  <c r="H27" i="9"/>
  <c r="K27" i="9"/>
  <c r="L27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M12" i="9" l="1"/>
  <c r="M23" i="9"/>
  <c r="M25" i="9"/>
  <c r="M21" i="9"/>
  <c r="M26" i="9"/>
  <c r="M14" i="9"/>
  <c r="M19" i="9"/>
  <c r="M27" i="9"/>
  <c r="M10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M11" i="6" l="1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B7" i="7" l="1"/>
  <c r="B8" i="7"/>
  <c r="B11" i="7"/>
  <c r="B4" i="7"/>
  <c r="B12" i="7"/>
  <c r="B5" i="7"/>
  <c r="C7" i="7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2" i="9"/>
  <c r="B6" i="7" l="1"/>
  <c r="B10" i="7" s="1"/>
  <c r="B9" i="7"/>
  <c r="B13" i="7"/>
  <c r="C9" i="7"/>
  <c r="C6" i="7"/>
  <c r="C10" i="7" s="1"/>
  <c r="C11" i="7"/>
  <c r="C13" i="7" s="1"/>
  <c r="N18" i="9"/>
  <c r="O18" i="9" s="1"/>
  <c r="N15" i="9"/>
  <c r="O15" i="9" s="1"/>
  <c r="N11" i="9"/>
  <c r="O11" i="9" s="1"/>
  <c r="N13" i="9"/>
  <c r="O13" i="9" s="1"/>
  <c r="N16" i="9"/>
  <c r="O16" i="9" s="1"/>
  <c r="N17" i="9"/>
  <c r="O17" i="9" s="1"/>
  <c r="N20" i="9"/>
  <c r="O20" i="9" s="1"/>
  <c r="N22" i="9"/>
  <c r="O22" i="9" s="1"/>
  <c r="N24" i="9"/>
  <c r="O24" i="9" s="1"/>
  <c r="N14" i="9"/>
  <c r="O14" i="9" s="1"/>
  <c r="N19" i="9"/>
  <c r="O19" i="9" s="1"/>
  <c r="N25" i="9"/>
  <c r="O25" i="9" s="1"/>
  <c r="N27" i="9"/>
  <c r="O27" i="9" s="1"/>
  <c r="N12" i="9"/>
  <c r="O12" i="9" s="1"/>
  <c r="N23" i="9"/>
  <c r="O23" i="9" s="1"/>
  <c r="N21" i="9"/>
  <c r="O21" i="9" s="1"/>
  <c r="N10" i="9"/>
  <c r="O10" i="9" s="1"/>
  <c r="N26" i="9"/>
  <c r="O26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57" i="9"/>
  <c r="O57" i="9" s="1"/>
  <c r="N134" i="9"/>
  <c r="O134" i="9" s="1"/>
  <c r="N111" i="9"/>
  <c r="O111" i="9" s="1"/>
  <c r="N139" i="9"/>
  <c r="O139" i="9" s="1"/>
  <c r="N100" i="9"/>
  <c r="O100" i="9" s="1"/>
  <c r="N46" i="9"/>
  <c r="O46" i="9" s="1"/>
  <c r="N123" i="9"/>
  <c r="O123" i="9" s="1"/>
  <c r="N135" i="9"/>
  <c r="O135" i="9" s="1"/>
  <c r="N93" i="9"/>
  <c r="O93" i="9" s="1"/>
  <c r="N137" i="9"/>
  <c r="O137" i="9" s="1"/>
  <c r="N96" i="9"/>
  <c r="O96" i="9" s="1"/>
  <c r="N119" i="9"/>
  <c r="O119" i="9" s="1"/>
  <c r="N66" i="9"/>
  <c r="O66" i="9" s="1"/>
  <c r="N58" i="9"/>
  <c r="O58" i="9" s="1"/>
  <c r="N115" i="9"/>
  <c r="O115" i="9" s="1"/>
  <c r="N70" i="9"/>
  <c r="O70" i="9" s="1"/>
  <c r="N73" i="9"/>
  <c r="O73" i="9" s="1"/>
  <c r="N107" i="9"/>
  <c r="O107" i="9" s="1"/>
  <c r="N140" i="9"/>
  <c r="O140" i="9" s="1"/>
  <c r="N112" i="9"/>
  <c r="O112" i="9" s="1"/>
  <c r="N82" i="9"/>
  <c r="O82" i="9" s="1"/>
  <c r="N127" i="9"/>
  <c r="O127" i="9" s="1"/>
  <c r="N62" i="9"/>
  <c r="O62" i="9" s="1"/>
  <c r="N53" i="9"/>
  <c r="O53" i="9" s="1"/>
  <c r="N98" i="9"/>
  <c r="O98" i="9" s="1"/>
  <c r="N131" i="9"/>
  <c r="O131" i="9" s="1"/>
  <c r="N56" i="9"/>
  <c r="O56" i="9" s="1"/>
  <c r="N48" i="9"/>
  <c r="O48" i="9" s="1"/>
  <c r="N141" i="9"/>
  <c r="O141" i="9" s="1"/>
  <c r="N89" i="9"/>
  <c r="O89" i="9" s="1"/>
  <c r="N102" i="9"/>
  <c r="O102" i="9" s="1"/>
  <c r="N114" i="9"/>
  <c r="O114" i="9" s="1"/>
  <c r="N38" i="9"/>
  <c r="O38" i="9" s="1"/>
  <c r="N72" i="9"/>
  <c r="O72" i="9" s="1"/>
  <c r="N42" i="9"/>
  <c r="O42" i="9" s="1"/>
  <c r="N85" i="9"/>
  <c r="O85" i="9" s="1"/>
  <c r="N86" i="9"/>
  <c r="O86" i="9" s="1"/>
  <c r="N34" i="9"/>
  <c r="O34" i="9" s="1"/>
  <c r="N104" i="9"/>
  <c r="O104" i="9" s="1"/>
  <c r="N33" i="9"/>
  <c r="O33" i="9" s="1"/>
  <c r="N124" i="9"/>
  <c r="O124" i="9" s="1"/>
  <c r="N78" i="9"/>
  <c r="O78" i="9" s="1"/>
  <c r="N90" i="9"/>
  <c r="O90" i="9" s="1"/>
  <c r="N61" i="9"/>
  <c r="O61" i="9" s="1"/>
  <c r="N52" i="9"/>
  <c r="O52" i="9" s="1"/>
  <c r="N120" i="9"/>
  <c r="O120" i="9" s="1"/>
  <c r="N68" i="9"/>
  <c r="O68" i="9" s="1"/>
  <c r="N80" i="9"/>
  <c r="O80" i="9" s="1"/>
  <c r="N103" i="9"/>
  <c r="O103" i="9" s="1"/>
  <c r="N126" i="9"/>
  <c r="O126" i="9" s="1"/>
  <c r="N50" i="9"/>
  <c r="O50" i="9" s="1"/>
  <c r="N41" i="9"/>
  <c r="O41" i="9" s="1"/>
  <c r="N138" i="9"/>
  <c r="O138" i="9" s="1"/>
  <c r="N64" i="9"/>
  <c r="O64" i="9" s="1"/>
  <c r="N65" i="9"/>
  <c r="O65" i="9" s="1"/>
  <c r="N37" i="9"/>
  <c r="O37" i="9" s="1"/>
  <c r="N110" i="9"/>
  <c r="O110" i="9" s="1"/>
  <c r="N28" i="9"/>
  <c r="O28" i="9" s="1"/>
  <c r="N81" i="9"/>
  <c r="O81" i="9" s="1"/>
  <c r="N30" i="9"/>
  <c r="O30" i="9" s="1"/>
  <c r="N130" i="9"/>
  <c r="O130" i="9" s="1"/>
  <c r="N88" i="9"/>
  <c r="O88" i="9" s="1"/>
  <c r="N36" i="9"/>
  <c r="O36" i="9" s="1"/>
  <c r="N49" i="9"/>
  <c r="O49" i="9" s="1"/>
  <c r="N132" i="9"/>
  <c r="O132" i="9" s="1"/>
  <c r="N106" i="9"/>
  <c r="O106" i="9" s="1"/>
  <c r="N122" i="9"/>
  <c r="O122" i="9" s="1"/>
  <c r="N69" i="9"/>
  <c r="O69" i="9" s="1"/>
  <c r="N92" i="9"/>
  <c r="O92" i="9" s="1"/>
  <c r="N40" i="9"/>
  <c r="O40" i="9" s="1"/>
  <c r="N94" i="9"/>
  <c r="O94" i="9" s="1"/>
  <c r="N128" i="9"/>
  <c r="O128" i="9" s="1"/>
  <c r="N32" i="9"/>
  <c r="O32" i="9" s="1"/>
  <c r="N54" i="9"/>
  <c r="O54" i="9" s="1"/>
  <c r="N99" i="9"/>
  <c r="O99" i="9" s="1"/>
  <c r="N118" i="9"/>
  <c r="O118" i="9" s="1"/>
  <c r="N74" i="9"/>
  <c r="O74" i="9" s="1"/>
  <c r="N44" i="9"/>
  <c r="O44" i="9" s="1"/>
  <c r="N45" i="9"/>
  <c r="O45" i="9" s="1"/>
  <c r="N60" i="9"/>
  <c r="O60" i="9" s="1"/>
  <c r="N136" i="9"/>
  <c r="O136" i="9" s="1"/>
  <c r="N29" i="9"/>
  <c r="O29" i="9" s="1"/>
  <c r="N116" i="9"/>
  <c r="O116" i="9" s="1"/>
  <c r="N84" i="9"/>
  <c r="O84" i="9" s="1"/>
  <c r="N108" i="9"/>
  <c r="O108" i="9" s="1"/>
  <c r="N76" i="9"/>
  <c r="O76" i="9" s="1"/>
  <c r="N77" i="9"/>
  <c r="O77" i="9" s="1"/>
  <c r="N133" i="9"/>
  <c r="O133" i="9" s="1"/>
  <c r="N129" i="9"/>
  <c r="O129" i="9" s="1"/>
  <c r="N125" i="9"/>
  <c r="O125" i="9" s="1"/>
  <c r="N121" i="9"/>
  <c r="O121" i="9" s="1"/>
  <c r="N117" i="9"/>
  <c r="O117" i="9" s="1"/>
  <c r="N113" i="9"/>
  <c r="O113" i="9" s="1"/>
  <c r="N109" i="9"/>
  <c r="O109" i="9" s="1"/>
  <c r="N105" i="9"/>
  <c r="O105" i="9" s="1"/>
  <c r="N101" i="9"/>
  <c r="O101" i="9" s="1"/>
  <c r="N97" i="9"/>
  <c r="O97" i="9" s="1"/>
  <c r="N95" i="9"/>
  <c r="O95" i="9" s="1"/>
  <c r="N91" i="9"/>
  <c r="O91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55" i="9"/>
  <c r="O55" i="9" s="1"/>
  <c r="N51" i="9"/>
  <c r="O51" i="9" s="1"/>
  <c r="N47" i="9"/>
  <c r="O47" i="9" s="1"/>
  <c r="N43" i="9"/>
  <c r="O43" i="9" s="1"/>
  <c r="N39" i="9"/>
  <c r="O39" i="9" s="1"/>
  <c r="N35" i="9"/>
  <c r="O35" i="9" s="1"/>
  <c r="N31" i="9"/>
  <c r="O31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<sst xmlns="http://schemas.openxmlformats.org/spreadsheetml/2006/main" count="13293" uniqueCount="5498">
  <si>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</si>
  <si>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</si>
  <si>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</si>
  <si>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</si>
  <si>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</si>
  <si>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</si>
  <si>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</si>
  <si>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</si>
  <si>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</si>
  <si>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</si>
  <si>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</si>
  <si>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</si>
  <si>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</si>
  <si>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</si>
  <si>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</si>
  <si>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</si>
  <si>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</si>
  <si>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</si>
  <si>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</si>
  <si>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</si>
  <si>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</si>
  <si>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</si>
  <si>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</si>
  <si>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</si>
  <si>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</si>
  <si>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</si>
  <si>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</si>
  <si>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</si>
  <si>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</si>
  <si>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</si>
  <si>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</si>
  <si>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</si>
  <si>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</si>
  <si>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</si>
  <si>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</si>
  <si>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</si>
  <si>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</si>
  <si>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</si>
  <si>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</si>
  <si>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</si>
  <si>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</si>
  <si>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</si>
  <si>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</si>
  <si>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</si>
  <si>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</si>
  <si>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</si>
  <si>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</si>
  <si>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</si>
  <si>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</si>
  <si>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</si>
  <si>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</si>
  <si>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</si>
  <si>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</si>
  <si>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</si>
  <si>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</si>
  <si>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</si>
  <si>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</si>
  <si>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</si>
  <si>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</si>
  <si>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</si>
  <si>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</si>
  <si>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</si>
  <si>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</si>
  <si>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</si>
  <si>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</si>
  <si>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</si>
  <si>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</si>
  <si>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</si>
  <si>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</si>
  <si>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</si>
  <si>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</si>
  <si>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</si>
  <si>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</si>
  <si>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</si>
  <si>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</si>
  <si>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</si>
  <si>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</si>
  <si>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</si>
  <si>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</si>
  <si>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</si>
  <si>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</si>
  <si>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</si>
  <si>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</si>
  <si>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</si>
  <si>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</si>
  <si>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</si>
  <si>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</si>
  <si>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</si>
  <si>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</si>
  <si>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</si>
  <si>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</si>
  <si>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</si>
  <si>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</si>
  <si>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</si>
  <si>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</si>
  <si>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</si>
  <si>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</si>
  <si>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</si>
  <si>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</si>
  <si>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</si>
  <si>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</si>
  <si>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</si>
  <si>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</si>
  <si>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</si>
  <si>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</si>
  <si>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</si>
  <si>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</si>
  <si>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</si>
  <si>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</si>
  <si>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</si>
  <si>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</si>
  <si>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</si>
  <si>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</si>
  <si>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</si>
  <si>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</si>
  <si>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</si>
  <si>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</si>
  <si>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</si>
  <si>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</si>
  <si>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</si>
  <si>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</si>
  <si>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</si>
  <si>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</si>
  <si>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</si>
  <si>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</si>
  <si>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</si>
  <si>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</si>
  <si>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</si>
  <si>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</si>
  <si>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</si>
  <si>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</si>
  <si>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</si>
  <si>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</si>
  <si>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</si>
  <si>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</si>
  <si>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</si>
  <si>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</si>
  <si>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</si>
  <si>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</si>
  <si>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</si>
  <si>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</si>
  <si>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</si>
  <si>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</si>
  <si>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</si>
  <si>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</si>
  <si>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</si>
  <si>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</si>
  <si>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</si>
  <si>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</si>
  <si>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</si>
  <si>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</si>
  <si>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</si>
  <si>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</si>
  <si>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</si>
  <si>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</si>
  <si>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</si>
  <si>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</si>
  <si>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</si>
  <si>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</si>
  <si>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</si>
  <si>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</si>
  <si>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</si>
  <si>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</si>
  <si>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</si>
  <si>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</si>
  <si>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</si>
  <si>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</si>
  <si>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</si>
  <si>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</si>
  <si>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</si>
  <si>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</si>
  <si>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</si>
  <si>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</si>
  <si>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</si>
  <si>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</si>
  <si>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</si>
  <si>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</si>
  <si>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</si>
  <si>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</si>
  <si>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</si>
  <si>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</si>
  <si>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</si>
  <si>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</si>
  <si>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</si>
  <si>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</si>
  <si>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</si>
  <si>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</si>
  <si>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</si>
  <si>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</si>
  <si>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</si>
  <si>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</si>
  <si>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</si>
  <si>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</si>
  <si>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</si>
  <si>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</si>
  <si>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</si>
  <si>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</si>
  <si>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</si>
  <si>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</si>
  <si>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</si>
  <si>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</si>
  <si>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</si>
  <si>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</si>
  <si>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</si>
  <si>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</si>
  <si>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</si>
  <si>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</si>
  <si>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</si>
  <si>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</si>
  <si>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</si>
  <si>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</si>
  <si>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</si>
  <si>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</si>
  <si>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</si>
  <si>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</si>
  <si>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</si>
  <si>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</si>
  <si>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</si>
  <si>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</si>
  <si>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</si>
  <si>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</si>
  <si>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</si>
  <si>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</si>
  <si>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</si>
  <si>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</si>
  <si>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</si>
  <si>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</si>
  <si>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</si>
  <si>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</si>
  <si>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</si>
  <si>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</si>
  <si>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</si>
  <si>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</si>
  <si>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</si>
  <si>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</si>
  <si>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</si>
  <si>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</si>
  <si>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</si>
  <si>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</si>
  <si>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</si>
  <si>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</si>
  <si>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</si>
  <si>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</si>
  <si>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</si>
  <si>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</si>
  <si>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</si>
  <si>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</si>
  <si>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</si>
  <si>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</si>
  <si>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</si>
  <si>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</si>
  <si>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</si>
  <si>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</si>
  <si>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</si>
  <si>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</si>
  <si>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</si>
  <si>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</si>
  <si>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</si>
  <si>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</si>
  <si>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</si>
  <si>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</si>
  <si>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</si>
  <si>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</si>
  <si>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</si>
  <si>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</si>
  <si>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</si>
  <si>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</si>
  <si>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</si>
  <si>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</si>
  <si>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</si>
  <si>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</si>
  <si>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</si>
  <si>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</si>
  <si>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</si>
  <si>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</si>
  <si>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</si>
  <si>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</si>
  <si>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</si>
  <si>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</si>
  <si>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</si>
  <si>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</si>
  <si>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</si>
  <si>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</si>
  <si>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</si>
  <si>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</si>
  <si>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</si>
  <si>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</si>
  <si>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</si>
  <si>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</si>
  <si>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</si>
  <si>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</si>
  <si>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</si>
  <si>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</si>
  <si>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</si>
  <si>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</si>
  <si>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</si>
  <si>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</si>
  <si>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</si>
  <si>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</si>
  <si>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</si>
  <si>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</si>
  <si>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</si>
  <si>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</si>
  <si>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</si>
  <si>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</si>
  <si>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</si>
  <si>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</si>
  <si>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</si>
  <si>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</si>
  <si>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</si>
  <si>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</si>
  <si>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</si>
  <si>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</si>
  <si>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</si>
  <si>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</si>
  <si>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</si>
  <si>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</si>
  <si>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</si>
  <si>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</si>
  <si>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</si>
  <si>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</si>
  <si>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</si>
  <si>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</si>
  <si>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</si>
  <si>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</si>
  <si>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</si>
  <si>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</si>
  <si>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</si>
  <si>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</si>
  <si>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</si>
  <si>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</si>
  <si>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</si>
  <si>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</si>
  <si>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</si>
  <si>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</si>
  <si>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</si>
  <si>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</si>
  <si>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</si>
  <si>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</si>
  <si>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</si>
  <si>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</si>
  <si>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</si>
  <si>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</si>
  <si>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</si>
  <si>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</si>
  <si>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</si>
  <si>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</si>
  <si>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</si>
  <si>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</si>
  <si>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</si>
  <si>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</si>
  <si>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</si>
  <si>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</si>
  <si>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</si>
  <si>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</si>
  <si>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</si>
  <si>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</si>
  <si>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</si>
  <si>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</si>
  <si>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</si>
  <si>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</si>
  <si>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</si>
  <si>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</si>
  <si>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</si>
  <si>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</si>
  <si>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</si>
  <si>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</si>
  <si>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</si>
  <si>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</si>
  <si>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</si>
  <si>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</si>
  <si>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</si>
  <si>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</si>
  <si>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</si>
  <si>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</si>
  <si>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</si>
  <si>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</si>
  <si>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</si>
  <si>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</si>
  <si>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</si>
  <si>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</si>
  <si>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</si>
  <si>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</si>
  <si>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</si>
  <si>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</si>
  <si>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</si>
  <si>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</si>
  <si>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</si>
  <si>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</si>
  <si>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</si>
  <si>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</si>
  <si>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</si>
  <si>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</si>
  <si>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</si>
  <si>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</si>
  <si>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</si>
  <si>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</si>
  <si>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</si>
  <si>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</si>
  <si>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</si>
  <si>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</si>
  <si>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</si>
  <si>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</si>
  <si>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</si>
  <si>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</si>
  <si>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</si>
  <si>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</si>
  <si>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</si>
  <si>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</si>
  <si>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</si>
  <si>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</si>
  <si>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</si>
  <si>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</si>
  <si>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</si>
  <si>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</si>
  <si>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</si>
  <si>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</si>
  <si>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</si>
  <si>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</si>
  <si>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</si>
  <si>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</si>
  <si>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</si>
  <si>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</si>
  <si>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</si>
  <si>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</si>
  <si>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</si>
  <si>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</si>
  <si>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</si>
  <si>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</si>
  <si>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</si>
  <si>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</si>
  <si>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</si>
  <si>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</si>
  <si>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</si>
  <si>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</si>
  <si>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</si>
  <si>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</si>
  <si>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</si>
  <si>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</si>
  <si>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</si>
  <si>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</si>
  <si>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</si>
  <si>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</si>
  <si>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</si>
  <si>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</si>
  <si>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</si>
  <si>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</si>
  <si>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</si>
  <si>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</si>
  <si>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</si>
  <si>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</si>
  <si>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</si>
  <si>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</si>
  <si>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</si>
  <si>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</si>
  <si>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</si>
  <si>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</si>
  <si>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</si>
  <si>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</si>
  <si>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</si>
  <si>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</si>
  <si>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</si>
  <si>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</si>
  <si>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</si>
  <si>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</si>
  <si>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</si>
  <si>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</si>
  <si>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</si>
  <si>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</si>
  <si>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</si>
  <si>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</si>
  <si>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</si>
  <si>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</si>
  <si>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</si>
  <si>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</si>
  <si>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</si>
  <si>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</si>
  <si>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</si>
  <si>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</si>
  <si>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</si>
  <si>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</si>
  <si>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</si>
  <si>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</si>
  <si>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</si>
  <si>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</si>
  <si>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</si>
  <si>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</si>
  <si>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</si>
  <si>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</si>
  <si>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</si>
  <si>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</si>
  <si>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</si>
  <si>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</si>
  <si>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</si>
  <si>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</si>
  <si>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</si>
  <si>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</si>
  <si>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</si>
  <si>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</si>
  <si>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</si>
  <si>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</si>
  <si>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</si>
  <si>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</si>
  <si>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</si>
  <si>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</si>
  <si>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</si>
  <si>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</si>
  <si>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</si>
  <si>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</si>
  <si>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</si>
  <si>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</si>
  <si>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</si>
  <si>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</si>
  <si>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</si>
  <si>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</si>
  <si>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</si>
  <si>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</si>
  <si>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</si>
  <si>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</si>
  <si>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</si>
  <si>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</si>
  <si>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</si>
  <si>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</si>
  <si>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</si>
  <si>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</si>
  <si>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</si>
  <si>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</si>
  <si>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</si>
  <si>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</si>
  <si>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</si>
  <si>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</si>
  <si>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</si>
  <si>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</si>
  <si>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</si>
  <si>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</si>
  <si>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</si>
  <si>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</si>
  <si>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</si>
  <si>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</si>
  <si>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</si>
  <si>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</si>
  <si>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</si>
  <si>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</si>
  <si>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</si>
  <si>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</si>
  <si>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</si>
  <si>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</si>
  <si>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</si>
  <si>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</si>
  <si>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</si>
  <si>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</si>
  <si>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</si>
  <si>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</si>
  <si>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</si>
  <si>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</si>
  <si>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</si>
  <si>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</si>
  <si>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</si>
  <si>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</si>
  <si>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</si>
  <si>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</si>
  <si>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</si>
  <si>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</si>
  <si>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</si>
  <si>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</si>
  <si>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</si>
  <si>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</si>
  <si>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</si>
  <si>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</si>
  <si>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</si>
  <si>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</si>
  <si>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</si>
  <si>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</si>
  <si>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</si>
  <si>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</si>
  <si>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</si>
  <si>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</si>
  <si>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</si>
  <si>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</si>
  <si>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</si>
  <si>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</si>
  <si>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</si>
  <si>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</si>
  <si>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</si>
  <si>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</si>
  <si>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</si>
  <si>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</si>
  <si>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</si>
  <si>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</si>
  <si>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</si>
  <si>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</si>
  <si>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</si>
  <si>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</si>
  <si>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</si>
  <si>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</si>
  <si>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</si>
  <si>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</si>
  <si>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</si>
  <si>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</si>
  <si>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</si>
  <si>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</si>
  <si>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</si>
  <si>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</si>
  <si>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</si>
  <si>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</si>
  <si>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</si>
  <si>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</si>
  <si>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</si>
  <si>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</si>
  <si>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</si>
  <si>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</si>
  <si>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</si>
  <si>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</si>
  <si>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</si>
  <si>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</si>
  <si>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</si>
  <si>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</si>
  <si>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</si>
  <si>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</si>
  <si>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</si>
  <si>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</si>
  <si>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</si>
  <si>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</si>
  <si>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</si>
  <si>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</si>
  <si>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</si>
  <si>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</si>
  <si>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</si>
  <si>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</si>
  <si>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</si>
  <si>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</si>
  <si>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</si>
  <si>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</si>
  <si>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</si>
  <si>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</si>
  <si>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</si>
  <si>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</si>
  <si>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</si>
  <si>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</si>
  <si>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</si>
  <si>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</si>
  <si>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</si>
  <si>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</si>
  <si>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</si>
  <si>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</si>
  <si>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</si>
  <si>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</si>
  <si>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</si>
  <si>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</si>
  <si>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</si>
  <si>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</si>
  <si>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</si>
  <si>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</si>
  <si>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</si>
  <si>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</si>
  <si>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</si>
  <si>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</si>
  <si>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</si>
  <si>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</si>
  <si>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</si>
  <si>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</si>
  <si>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</si>
  <si>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</si>
  <si>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</si>
  <si>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</si>
  <si>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</si>
  <si>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</si>
  <si>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</si>
  <si>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</si>
  <si>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</si>
  <si>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</si>
  <si>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</si>
  <si>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</si>
  <si>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</si>
  <si>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</si>
  <si>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</si>
  <si>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</si>
  <si>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</si>
  <si>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</si>
  <si>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</si>
  <si>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</si>
  <si>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</si>
  <si>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</si>
  <si>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</si>
  <si>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</si>
  <si>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</si>
  <si>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</si>
  <si>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</si>
  <si>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</si>
  <si>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</si>
  <si>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</si>
  <si>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</si>
  <si>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</si>
  <si>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</si>
  <si>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</si>
  <si>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</si>
  <si>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</si>
  <si>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</si>
  <si>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</si>
  <si>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</si>
  <si>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</si>
  <si>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</si>
  <si>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</si>
  <si>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</si>
  <si>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</si>
  <si>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</si>
  <si>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</si>
  <si>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</si>
  <si>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</si>
  <si>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</si>
  <si>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</si>
  <si>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</si>
  <si>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</si>
  <si>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</si>
  <si>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</si>
  <si>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</si>
  <si>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</si>
  <si>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</si>
  <si>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</si>
  <si>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</si>
  <si>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</si>
  <si>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</si>
  <si>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</si>
  <si>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</si>
  <si>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</si>
  <si>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</si>
  <si>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</si>
  <si>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</si>
  <si>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</si>
  <si>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</si>
  <si>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</si>
  <si>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</si>
  <si>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</si>
  <si>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</si>
  <si>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</si>
  <si>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</si>
  <si>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</si>
  <si>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</si>
  <si>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</si>
  <si>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</si>
  <si>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</si>
  <si>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</si>
  <si>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</si>
  <si>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</si>
  <si>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</si>
  <si>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</si>
  <si>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</si>
  <si>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</si>
  <si>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</si>
  <si>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</si>
  <si>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</si>
  <si>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</si>
  <si>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</si>
  <si>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</si>
  <si>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</si>
  <si>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</si>
  <si>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</si>
  <si>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</si>
  <si>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</si>
  <si>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</si>
  <si>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</si>
  <si>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</si>
  <si>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</si>
  <si>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</si>
  <si>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</si>
  <si>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</si>
  <si>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</si>
  <si>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</si>
  <si>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</si>
  <si>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</si>
  <si>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</si>
  <si>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</si>
  <si>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</si>
  <si>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</si>
  <si>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</si>
  <si>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</si>
  <si>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</si>
  <si>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</si>
  <si>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</si>
  <si>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</si>
  <si>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</si>
  <si>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</si>
  <si>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</si>
  <si>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</si>
  <si>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</si>
  <si>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</si>
  <si>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</si>
  <si>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</si>
  <si>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</si>
  <si>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</si>
  <si>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</si>
  <si>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</si>
  <si>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</si>
  <si>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</si>
  <si>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</si>
  <si>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</si>
  <si>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</si>
  <si>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</si>
  <si>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</si>
  <si>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</si>
  <si>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</si>
  <si>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</si>
  <si>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</si>
  <si>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</si>
  <si>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</si>
  <si>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</si>
  <si>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</si>
  <si>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</si>
  <si>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</si>
  <si>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</si>
  <si>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</si>
  <si>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</si>
  <si>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</si>
  <si>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</si>
  <si>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</si>
  <si>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</si>
  <si>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</si>
  <si>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</si>
  <si>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</si>
  <si>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</si>
  <si>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</si>
  <si>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</si>
  <si>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</si>
  <si>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</si>
  <si>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</si>
  <si>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</si>
  <si>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</si>
  <si>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</si>
  <si>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</si>
  <si>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</si>
  <si>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</si>
  <si>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</si>
  <si>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</si>
  <si>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</si>
  <si>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</si>
  <si>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</si>
  <si>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</si>
  <si>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</si>
  <si>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</si>
  <si>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</si>
  <si>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</si>
  <si>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</si>
  <si>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</si>
  <si>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</si>
  <si>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</si>
  <si>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</si>
  <si>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</si>
  <si>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</si>
  <si>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</si>
  <si>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</si>
  <si>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</si>
  <si>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</si>
  <si>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</si>
  <si>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</si>
  <si>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</si>
  <si>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</si>
  <si>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</si>
  <si>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</si>
  <si>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</si>
  <si>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</si>
  <si>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</si>
  <si>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</si>
  <si>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</si>
  <si>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</si>
  <si>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</si>
  <si>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</si>
  <si>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</si>
  <si>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</si>
  <si>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</si>
  <si>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</si>
  <si>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</si>
  <si>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</si>
  <si>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</si>
  <si>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</si>
  <si>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</si>
  <si>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</si>
  <si>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</si>
  <si>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</si>
  <si>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</si>
  <si>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</si>
  <si>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</si>
  <si>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</si>
  <si>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</si>
  <si>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</si>
  <si>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</si>
  <si>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</si>
  <si>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</si>
  <si>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</si>
  <si>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</si>
  <si>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</si>
  <si>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</si>
  <si>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</si>
  <si>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</si>
  <si>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</si>
  <si>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</si>
  <si>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</si>
  <si>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</si>
  <si>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</si>
  <si>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</si>
  <si>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</si>
  <si>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</si>
  <si>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</si>
  <si>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</si>
  <si>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</si>
  <si>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</si>
  <si>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</si>
  <si>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</si>
  <si>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</si>
  <si>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</si>
  <si>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</si>
  <si>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</si>
  <si>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</si>
  <si>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</si>
  <si>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</si>
  <si>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</si>
  <si>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</si>
  <si>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</si>
  <si>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</si>
  <si>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</si>
  <si>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</si>
  <si>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</si>
  <si>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</si>
  <si>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</si>
  <si>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</si>
  <si>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</si>
  <si>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</si>
  <si>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</si>
  <si>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</si>
  <si>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</si>
  <si>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</si>
  <si>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</si>
  <si>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</si>
  <si>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</si>
  <si>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</si>
  <si>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</si>
  <si>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</si>
  <si>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</si>
  <si>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</si>
  <si>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</si>
  <si>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</si>
  <si>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</si>
  <si>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</si>
  <si>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</si>
  <si>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</si>
  <si>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</si>
  <si>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</si>
  <si>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</si>
  <si>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</si>
  <si>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</si>
  <si>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</si>
  <si>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</si>
  <si>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</si>
  <si>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</si>
  <si>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</si>
  <si>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</si>
  <si>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</si>
  <si>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</si>
  <si>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</si>
  <si>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</si>
  <si>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</si>
  <si>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</si>
  <si>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</si>
  <si>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</si>
  <si>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</si>
  <si>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</si>
  <si>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</si>
  <si>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</si>
  <si>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</si>
  <si>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</si>
  <si>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</si>
  <si>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</si>
  <si>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</si>
  <si>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</si>
  <si>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</si>
  <si>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</si>
  <si>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</si>
  <si>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</si>
  <si>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</si>
  <si>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</si>
  <si>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</si>
  <si>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</si>
  <si>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</si>
  <si>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</si>
  <si>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</si>
  <si>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</si>
  <si>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</si>
  <si>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</si>
  <si>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</si>
  <si>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</si>
  <si>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</si>
  <si>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</si>
  <si>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</si>
  <si>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</si>
  <si>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</si>
  <si>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</si>
  <si>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</si>
  <si>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</si>
  <si>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</si>
  <si>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</si>
  <si>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</si>
  <si>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</si>
  <si>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</si>
  <si>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</si>
  <si>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</si>
  <si>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</si>
  <si>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</si>
  <si>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</si>
  <si>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</si>
  <si>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</si>
  <si>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</si>
  <si>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</si>
  <si>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</si>
  <si>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</si>
  <si>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</si>
  <si>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</si>
  <si>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</si>
  <si>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</si>
  <si>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</si>
  <si>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</si>
  <si>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</si>
  <si>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</si>
  <si>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</si>
  <si>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</si>
  <si>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</si>
  <si>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</si>
  <si>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</si>
  <si>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</si>
  <si>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</si>
  <si>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</si>
  <si>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</si>
  <si>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</si>
  <si>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</si>
  <si>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</si>
  <si>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</si>
  <si>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</si>
  <si>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</si>
  <si>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</si>
  <si>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</si>
  <si>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</si>
  <si>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</si>
  <si>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</si>
  <si>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</si>
  <si>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</si>
  <si>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</si>
  <si>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</si>
  <si>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</si>
  <si>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</si>
  <si>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</si>
  <si>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</si>
  <si>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</si>
  <si>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</si>
  <si>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</si>
  <si>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</si>
  <si>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</si>
  <si>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</si>
  <si>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</si>
  <si>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</si>
  <si>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</si>
  <si>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</si>
  <si>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</si>
  <si>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</si>
  <si>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</si>
  <si>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</si>
  <si>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</si>
  <si>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</si>
  <si>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</si>
  <si>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</si>
  <si>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</si>
  <si>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</si>
  <si>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</si>
  <si>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</si>
  <si>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</si>
  <si>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</si>
  <si>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</si>
  <si>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</si>
  <si>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</si>
  <si>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</si>
  <si>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</si>
  <si>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</si>
  <si>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</si>
  <si>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</si>
  <si>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</si>
  <si>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</si>
  <si>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</si>
  <si>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</si>
  <si>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</si>
  <si>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</si>
  <si>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</si>
  <si>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</si>
  <si>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</si>
  <si>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</si>
  <si>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</si>
  <si>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</si>
  <si>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</si>
  <si>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</si>
  <si>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</si>
  <si>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</si>
  <si>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</si>
  <si>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</si>
  <si>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</si>
  <si>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</si>
  <si>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</si>
  <si>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</si>
  <si>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</si>
  <si>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</si>
  <si>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</si>
  <si>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</si>
  <si>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</si>
  <si>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</si>
  <si>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</si>
  <si>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</si>
  <si>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</si>
  <si>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</si>
  <si>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</si>
  <si>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</si>
  <si>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</si>
  <si>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</si>
  <si>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</si>
  <si>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</si>
  <si>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</si>
  <si>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</si>
  <si>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</si>
  <si>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</si>
  <si>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</si>
  <si>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</si>
  <si>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</si>
  <si>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</si>
  <si>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</si>
  <si>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</si>
  <si>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</si>
  <si>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</si>
  <si>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</si>
  <si>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</si>
  <si>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</si>
  <si>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</si>
  <si>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</si>
  <si>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</si>
  <si>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</si>
  <si>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</si>
  <si>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</si>
  <si>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</si>
  <si>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</si>
  <si>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</si>
  <si>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</si>
  <si>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</si>
  <si>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</si>
  <si>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</si>
  <si>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</si>
  <si>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</si>
  <si>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</si>
  <si>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</si>
  <si>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</si>
  <si>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</si>
  <si>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</si>
  <si>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</si>
  <si>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</si>
  <si>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</si>
  <si>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</si>
  <si>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</si>
  <si>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</si>
  <si>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</si>
  <si>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</si>
  <si>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</si>
  <si>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</si>
  <si>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</si>
  <si>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</si>
  <si>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</si>
  <si>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</si>
  <si>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</si>
  <si>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</si>
  <si>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</si>
  <si>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</si>
  <si>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</si>
  <si>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</si>
  <si>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</si>
  <si>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</si>
  <si>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</si>
  <si>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</si>
  <si>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</si>
  <si>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</si>
  <si>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</si>
  <si>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</si>
  <si>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</si>
  <si>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</si>
  <si>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</si>
  <si>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</si>
  <si>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</si>
  <si>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</si>
  <si>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</si>
  <si>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</si>
  <si>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</si>
  <si>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</si>
  <si>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</si>
  <si>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</si>
  <si>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</si>
  <si>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</si>
  <si>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</si>
  <si>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</si>
  <si>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</si>
  <si>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</si>
  <si>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</si>
  <si>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</si>
  <si>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</si>
  <si>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</si>
  <si>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</si>
  <si>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</si>
  <si>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</si>
  <si>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</si>
  <si>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</si>
  <si>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</si>
  <si>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</si>
  <si>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</si>
  <si>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</si>
  <si>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</si>
  <si>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</si>
  <si>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</si>
  <si>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</si>
  <si>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</si>
  <si>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</si>
  <si>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</si>
  <si>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</si>
  <si>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</si>
  <si>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</si>
  <si>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</si>
  <si>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</si>
  <si>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</si>
  <si>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</si>
  <si>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</si>
  <si>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</si>
  <si>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</si>
  <si>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</si>
  <si>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</si>
  <si>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</si>
  <si>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</si>
  <si>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</si>
  <si>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</si>
  <si>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</si>
  <si>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</si>
  <si>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</si>
  <si>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</si>
  <si>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</si>
  <si>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</si>
  <si>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</si>
  <si>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</si>
  <si>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</si>
  <si>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</si>
  <si>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</si>
  <si>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</si>
  <si>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</si>
  <si>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</si>
  <si>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</si>
  <si>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</si>
  <si>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</si>
  <si>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</si>
  <si>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</si>
  <si>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</si>
  <si>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</si>
  <si>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</si>
  <si>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</si>
  <si>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</si>
  <si>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</si>
  <si>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</si>
  <si>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</si>
  <si>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</si>
  <si>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</si>
  <si>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</si>
  <si>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</si>
  <si>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</si>
  <si>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</si>
  <si>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</si>
  <si>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</si>
  <si>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</si>
  <si>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</si>
  <si>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</si>
  <si>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</si>
  <si>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</si>
  <si>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</si>
  <si>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</si>
  <si>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</si>
  <si>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</si>
  <si>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</si>
  <si>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</si>
  <si>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</si>
  <si>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</si>
  <si>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</si>
  <si>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</si>
  <si>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</si>
  <si>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</si>
  <si>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</si>
  <si>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</si>
  <si>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</si>
  <si>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</si>
  <si>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</si>
  <si>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</si>
  <si>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</si>
  <si>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</si>
  <si>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</si>
  <si>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</si>
  <si>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</si>
  <si>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</si>
  <si>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</si>
  <si>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</si>
  <si>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</si>
  <si>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</si>
  <si>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</si>
  <si>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</si>
  <si>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</si>
  <si>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</si>
  <si>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</si>
  <si>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</si>
  <si>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</si>
  <si>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</si>
  <si>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</si>
  <si>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</si>
  <si>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</si>
  <si>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</si>
  <si>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</si>
  <si>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</si>
  <si>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</si>
  <si>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</si>
  <si>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</si>
  <si>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</si>
  <si>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</si>
  <si>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</si>
  <si>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</si>
  <si>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</si>
  <si>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</si>
  <si>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</si>
  <si>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</si>
  <si>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</si>
  <si>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</si>
  <si>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</si>
  <si>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</si>
  <si>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</si>
  <si>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</si>
  <si>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</si>
  <si>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</si>
  <si>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</si>
  <si>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</si>
  <si>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</si>
  <si>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</si>
  <si>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</si>
  <si>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</si>
  <si>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</si>
  <si>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</si>
  <si>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</si>
  <si>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</si>
  <si>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</si>
  <si>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</si>
  <si>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</si>
  <si>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</si>
  <si>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</si>
  <si>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</si>
  <si>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</si>
  <si>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</si>
  <si>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</si>
  <si>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</si>
  <si>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</si>
  <si>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</si>
  <si>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</si>
  <si>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</si>
  <si>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</si>
  <si>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</si>
  <si>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</si>
  <si>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</si>
  <si>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</si>
  <si>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</si>
  <si>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</si>
  <si>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</si>
  <si>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</si>
  <si>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</si>
  <si>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</si>
  <si>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</si>
  <si>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</si>
  <si>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</si>
  <si>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</si>
  <si>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</si>
  <si>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</si>
  <si>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</si>
  <si>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</si>
  <si>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</si>
  <si>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</si>
  <si>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</si>
  <si>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</si>
  <si>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</si>
  <si>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</si>
  <si>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</si>
  <si>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</si>
  <si>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</si>
  <si>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</si>
  <si>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</si>
  <si>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</si>
  <si>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</si>
  <si>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</si>
  <si>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</si>
  <si>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</si>
  <si>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</si>
  <si>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</si>
  <si>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</si>
  <si>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</si>
  <si>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</si>
  <si>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</si>
  <si>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</si>
  <si>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</si>
  <si>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</si>
  <si>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</si>
  <si>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</si>
  <si>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</si>
  <si>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</si>
  <si>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</si>
  <si>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</si>
  <si>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</si>
  <si>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</si>
  <si>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</si>
  <si>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</si>
  <si>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</si>
  <si>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</si>
  <si>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</si>
  <si>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</si>
  <si>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</si>
  <si>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</si>
  <si>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</si>
  <si>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</si>
  <si>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</si>
  <si>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</si>
  <si>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</si>
  <si>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</si>
  <si>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</si>
  <si>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</si>
  <si>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</si>
  <si>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</si>
  <si>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</si>
  <si>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</si>
  <si>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</si>
  <si>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</si>
  <si>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</si>
  <si>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</si>
  <si>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</si>
  <si>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</si>
  <si>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</si>
  <si>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</si>
  <si>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</si>
  <si>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</si>
  <si>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</si>
  <si>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</si>
  <si>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</si>
  <si>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</si>
  <si>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</si>
  <si>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</si>
  <si>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</si>
  <si>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</si>
  <si>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</si>
  <si>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</si>
  <si>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</si>
  <si>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</si>
  <si>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</si>
  <si>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</si>
  <si>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</si>
  <si>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</si>
  <si>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</si>
  <si>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</si>
  <si>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</si>
  <si>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</si>
  <si>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</si>
  <si>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</si>
  <si>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</si>
  <si>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</si>
  <si>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</si>
  <si>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</si>
  <si>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</si>
  <si>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</si>
  <si>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</si>
  <si>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</si>
  <si>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</si>
  <si>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</si>
  <si>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</si>
  <si>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</si>
  <si>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</si>
  <si>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</si>
  <si>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</si>
  <si>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</si>
  <si>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</si>
  <si>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</si>
  <si>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</si>
  <si>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</si>
  <si>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</si>
  <si>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</si>
  <si>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</si>
  <si>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</si>
  <si>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</si>
  <si>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</si>
  <si>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</si>
  <si>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</si>
  <si>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</si>
  <si>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</si>
  <si>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</si>
  <si>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</si>
  <si>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</si>
  <si>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</si>
  <si>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</si>
  <si>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</si>
  <si>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</si>
  <si>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</si>
  <si>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</si>
  <si>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</si>
  <si>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</si>
  <si>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</si>
  <si>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</si>
  <si>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</si>
  <si>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</si>
  <si>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</si>
  <si>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</si>
  <si>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</si>
  <si>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</si>
  <si>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</si>
  <si>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</si>
  <si>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</si>
  <si>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</si>
  <si>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</si>
  <si>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</si>
  <si>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</si>
  <si>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</si>
  <si>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</si>
  <si>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</si>
  <si>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</si>
  <si>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</si>
  <si>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</si>
  <si>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</si>
  <si>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</si>
  <si>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</si>
  <si>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</si>
  <si>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</si>
  <si>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</si>
  <si>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</si>
  <si>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</si>
  <si>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</si>
  <si>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</si>
  <si>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</si>
  <si>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</si>
  <si>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</si>
  <si>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</si>
  <si>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</si>
  <si>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</si>
  <si>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</si>
  <si>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</si>
  <si>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</si>
  <si>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</si>
  <si>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</si>
  <si>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</si>
  <si>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</si>
  <si>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</si>
  <si>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</si>
  <si>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</si>
  <si>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</si>
  <si>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</si>
  <si>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</si>
  <si>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</si>
  <si>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</si>
  <si>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</si>
  <si>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</si>
  <si>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</si>
  <si>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</si>
  <si>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</si>
  <si>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</si>
  <si>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</si>
  <si>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</si>
  <si>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</si>
  <si>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</si>
  <si>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</si>
  <si>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</si>
  <si>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</si>
  <si>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</si>
  <si>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</si>
  <si>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</si>
  <si>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</si>
  <si>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</si>
  <si>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</si>
  <si>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</si>
  <si>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</si>
  <si>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</si>
  <si>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</si>
  <si>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</si>
  <si>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</si>
  <si>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</si>
  <si>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</si>
  <si>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</si>
  <si>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</si>
  <si>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</si>
  <si>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</si>
  <si>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</si>
  <si>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</si>
  <si>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</si>
  <si>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</si>
  <si>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</si>
  <si>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</si>
  <si>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</si>
  <si>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</si>
  <si>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</si>
  <si>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</si>
  <si>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</si>
  <si>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</si>
  <si>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</si>
  <si>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</si>
  <si>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</si>
  <si>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</si>
  <si>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</si>
  <si>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</si>
  <si>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</si>
  <si>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</si>
  <si>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</si>
  <si>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</si>
  <si>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</si>
  <si>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</si>
  <si>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</si>
  <si>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</si>
  <si>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</si>
  <si>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</si>
  <si>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</si>
  <si>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</si>
  <si>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</si>
  <si>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</si>
  <si>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</si>
  <si>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</si>
  <si>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</si>
  <si>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</si>
  <si>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</si>
  <si>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</si>
  <si>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</si>
  <si>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</si>
  <si>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</si>
  <si>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</si>
  <si>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</si>
  <si>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</si>
  <si>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</si>
  <si>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</si>
  <si>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</si>
  <si>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</si>
  <si>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</si>
  <si>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</si>
  <si>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</si>
  <si>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</si>
  <si>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</si>
  <si>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</si>
  <si>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</si>
  <si>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</si>
  <si>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</si>
  <si>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</si>
  <si>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</si>
  <si>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</si>
  <si>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</si>
  <si>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</si>
  <si>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</si>
  <si>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</si>
  <si>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</si>
  <si>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</si>
  <si>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</si>
  <si>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</si>
  <si>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</si>
  <si>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</si>
  <si>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</si>
  <si>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</si>
  <si>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</si>
  <si>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</si>
  <si>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</si>
  <si>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</si>
  <si>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</si>
  <si>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</si>
  <si>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</si>
  <si>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</si>
  <si>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</si>
  <si>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</si>
  <si>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</si>
  <si>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</si>
  <si>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</si>
  <si>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</si>
  <si>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</si>
  <si>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</si>
  <si>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</si>
  <si>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</si>
  <si>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</si>
  <si>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</si>
  <si>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</si>
  <si>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</si>
  <si>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</si>
  <si>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</si>
  <si>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</si>
  <si>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</si>
  <si>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</si>
  <si>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</si>
  <si>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</si>
  <si>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</si>
  <si>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</si>
  <si>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</si>
  <si>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</si>
  <si>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</si>
  <si>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</si>
  <si>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</si>
  <si>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</si>
  <si>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</si>
  <si>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</si>
  <si>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</si>
  <si>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</si>
  <si>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</si>
  <si>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</si>
  <si>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</si>
  <si>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</si>
  <si>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</si>
  <si>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</si>
  <si>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</si>
  <si>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</si>
  <si>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</si>
  <si>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</si>
  <si>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</si>
  <si>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</si>
  <si>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</si>
  <si>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</si>
  <si>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</si>
  <si>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</si>
  <si>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</si>
  <si>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</si>
  <si>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</si>
  <si>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</si>
  <si>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</si>
  <si>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</si>
  <si>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</si>
  <si>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</si>
  <si>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</si>
  <si>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</si>
  <si>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</si>
  <si>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</si>
  <si>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</si>
  <si>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</si>
  <si>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</si>
  <si>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</si>
  <si>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</si>
  <si>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</si>
  <si>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</si>
  <si>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</si>
  <si>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</si>
  <si>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</si>
  <si>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</si>
  <si>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</si>
  <si>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</si>
  <si>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</si>
  <si>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</si>
  <si>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</si>
  <si>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</si>
  <si>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</si>
  <si>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</si>
  <si>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</si>
  <si>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</si>
  <si>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</si>
  <si>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</si>
  <si>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</si>
  <si>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</si>
  <si>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</si>
  <si>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</si>
  <si>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</si>
  <si>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</si>
  <si>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</si>
  <si>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</si>
  <si>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</si>
  <si>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</si>
  <si>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</si>
  <si>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</si>
  <si>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</si>
  <si>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</si>
  <si>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</si>
  <si>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</si>
  <si>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</si>
  <si>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</si>
  <si>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</si>
  <si>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</si>
  <si>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</si>
  <si>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</si>
  <si>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</si>
  <si>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</si>
  <si>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</si>
  <si>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</si>
  <si>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</si>
  <si>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</si>
  <si>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</si>
  <si>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</si>
  <si>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</si>
  <si>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</si>
  <si>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</si>
  <si>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</si>
  <si>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</si>
  <si>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</si>
  <si>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</si>
  <si>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</si>
  <si>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</si>
  <si>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</si>
  <si>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</si>
  <si>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</si>
  <si>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</si>
  <si>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</si>
  <si>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</si>
  <si>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</si>
  <si>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</si>
  <si>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</si>
  <si>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</si>
  <si>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</si>
  <si>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</si>
  <si>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</si>
  <si>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</si>
  <si>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</si>
  <si>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</si>
  <si>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</si>
  <si>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</si>
  <si>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</si>
  <si>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</si>
  <si>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</si>
  <si>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</si>
  <si>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</si>
  <si>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</si>
  <si>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</si>
  <si>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</si>
  <si>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</si>
  <si>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</si>
  <si>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</si>
  <si>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</si>
  <si>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</si>
  <si>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</si>
  <si>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</si>
  <si>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</si>
  <si>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</si>
  <si>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</si>
  <si>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</si>
  <si>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</si>
  <si>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</si>
  <si>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</si>
  <si>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</si>
  <si>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</si>
  <si>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</si>
  <si>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</si>
  <si>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</si>
  <si>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</si>
  <si>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</si>
  <si>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</si>
  <si>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</si>
  <si>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</si>
  <si>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</si>
  <si>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</si>
  <si>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</si>
  <si>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</si>
  <si>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</si>
  <si>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</si>
  <si>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</si>
  <si>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</si>
  <si>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</si>
  <si>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</si>
  <si>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</si>
  <si>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</si>
  <si>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</si>
  <si>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</si>
  <si>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</si>
  <si>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</si>
  <si>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</si>
  <si>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</si>
  <si>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</si>
  <si>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</si>
  <si>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</si>
  <si>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</si>
  <si>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</si>
  <si>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</si>
  <si>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</si>
  <si>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</si>
  <si>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</si>
  <si>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</si>
  <si>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</si>
  <si>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</si>
  <si>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</si>
  <si>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</si>
  <si>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</si>
  <si>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</si>
  <si>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</si>
  <si>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</si>
  <si>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</si>
  <si>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</si>
  <si>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</si>
  <si>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</si>
  <si>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</si>
  <si>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</si>
  <si>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</si>
  <si>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</si>
  <si>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</si>
  <si>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</si>
  <si>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</si>
  <si>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</si>
  <si>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</si>
  <si>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</si>
  <si>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</si>
  <si>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</si>
  <si>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</si>
  <si>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</si>
  <si>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</si>
  <si>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</si>
  <si>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</si>
  <si>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</si>
  <si>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</si>
  <si>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</si>
  <si>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</si>
  <si>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</si>
  <si>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</si>
  <si>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</si>
  <si>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</si>
  <si>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</si>
  <si>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</si>
  <si>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</si>
  <si>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</si>
  <si>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</si>
  <si>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</si>
  <si>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</si>
  <si>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</si>
  <si>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</si>
  <si>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</si>
  <si>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</si>
  <si>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</si>
  <si>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</si>
  <si>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</si>
  <si>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</si>
  <si>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</si>
  <si>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</si>
  <si>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</si>
  <si>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</si>
  <si>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</si>
  <si>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</si>
  <si>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</si>
  <si>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</si>
  <si>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</si>
  <si>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</si>
  <si>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</si>
  <si>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</si>
  <si>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</si>
  <si>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</si>
  <si>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</si>
  <si>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</si>
  <si>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</si>
  <si>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</si>
  <si>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</si>
  <si>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</si>
  <si>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</si>
  <si>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</si>
  <si>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</si>
  <si>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</si>
  <si>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</si>
  <si>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</si>
  <si>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</si>
  <si>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</si>
  <si>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</si>
  <si>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</si>
  <si>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</si>
  <si>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</si>
  <si>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</si>
  <si>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</si>
  <si>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</si>
  <si>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</si>
  <si>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</si>
  <si>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</si>
  <si>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</si>
  <si>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</si>
  <si>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</si>
  <si>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</si>
  <si>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</si>
  <si>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</si>
  <si>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</si>
  <si>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</si>
  <si>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</si>
  <si>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</si>
  <si>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</si>
  <si>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</si>
  <si>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</si>
  <si>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</si>
  <si>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</si>
  <si>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</si>
  <si>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</si>
  <si>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</si>
  <si>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</si>
  <si>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</si>
  <si>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</si>
  <si>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</si>
  <si>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</si>
  <si>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</si>
  <si>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</si>
  <si>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</si>
  <si>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</si>
  <si>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</si>
  <si>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</si>
  <si>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</si>
  <si>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</si>
  <si>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</si>
  <si>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</si>
  <si>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</si>
  <si>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</si>
  <si>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</si>
  <si>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</si>
  <si>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</si>
  <si>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</si>
  <si>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</si>
  <si>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</si>
  <si>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</si>
  <si>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</si>
  <si>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</si>
  <si>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</si>
  <si>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</si>
  <si>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</si>
  <si>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</si>
  <si>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</si>
  <si>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</si>
  <si>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</si>
  <si>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</si>
  <si>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</si>
  <si>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</si>
  <si>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</si>
  <si>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</si>
  <si>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</si>
  <si>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</si>
  <si>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</si>
  <si>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</si>
  <si>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</si>
  <si>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</si>
  <si>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</si>
  <si>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</si>
  <si>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</si>
  <si>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</si>
  <si>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</si>
  <si>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</si>
  <si>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</si>
  <si>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</si>
  <si>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</si>
  <si>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</si>
  <si>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</si>
  <si>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</si>
  <si>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</si>
  <si>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</si>
  <si>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</si>
  <si>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</si>
  <si>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</si>
  <si>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</si>
  <si>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</si>
  <si>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</si>
  <si>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</si>
  <si>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</si>
  <si>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</si>
  <si>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</si>
  <si>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</si>
  <si>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</si>
  <si>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</si>
  <si>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</si>
  <si>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</si>
  <si>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</si>
  <si>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</si>
  <si>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</si>
  <si>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</si>
  <si>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</si>
  <si>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</si>
  <si>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</si>
  <si>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</si>
  <si>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</si>
  <si>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</si>
  <si>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</si>
  <si>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</si>
  <si>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</si>
  <si>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</si>
  <si>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</si>
  <si>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</si>
  <si>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</si>
  <si>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</si>
  <si>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</si>
  <si>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</si>
  <si>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</si>
  <si>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</si>
  <si>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</si>
  <si>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</si>
  <si>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</si>
  <si>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</si>
  <si>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</si>
  <si>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</si>
  <si>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</si>
  <si>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</si>
  <si>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</si>
  <si>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</si>
  <si>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</si>
  <si>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</si>
  <si>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</si>
  <si>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</si>
  <si>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</si>
  <si>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</si>
  <si>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</si>
  <si>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</si>
  <si>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</si>
  <si>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</si>
  <si>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</si>
  <si>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</si>
  <si>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</si>
  <si>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</si>
  <si>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</si>
  <si>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</si>
  <si>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</si>
  <si>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</si>
  <si>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</si>
  <si>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</si>
  <si>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</si>
  <si>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</si>
  <si>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</si>
  <si>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</si>
  <si>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</si>
  <si>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</si>
  <si>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</si>
  <si>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</si>
  <si>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</si>
  <si>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</si>
  <si>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</si>
  <si>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</si>
  <si>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</si>
  <si>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</si>
  <si>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</si>
  <si>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</si>
  <si>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</si>
  <si>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</si>
  <si>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</si>
  <si>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</si>
  <si>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</si>
  <si>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</si>
  <si>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</si>
  <si>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</si>
  <si>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</si>
  <si>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</si>
  <si>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</si>
  <si>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</si>
  <si>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</si>
  <si>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</si>
  <si>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</si>
  <si>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</si>
  <si>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</si>
  <si>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</si>
  <si>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</si>
  <si>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</si>
  <si>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</si>
  <si>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</si>
  <si>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</si>
  <si>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</si>
  <si>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</si>
  <si>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</si>
  <si>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</si>
  <si>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</si>
  <si>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</si>
  <si>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</si>
  <si>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</si>
  <si>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</si>
  <si>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</si>
  <si>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</si>
  <si>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</si>
  <si>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</si>
  <si>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</si>
  <si>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</si>
  <si>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</si>
  <si>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</si>
  <si>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</si>
  <si>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</si>
  <si>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</si>
  <si>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</si>
  <si>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</si>
  <si>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</si>
  <si>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</si>
  <si>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</si>
  <si>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</si>
  <si>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</si>
  <si>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</si>
  <si>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</si>
  <si>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</si>
  <si>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</si>
  <si>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</si>
  <si>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</si>
  <si>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</si>
  <si>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</si>
  <si>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</si>
  <si>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</si>
  <si>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</si>
  <si>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</si>
  <si>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</si>
  <si>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</si>
  <si>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</si>
  <si>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</si>
  <si>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</si>
  <si>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</si>
  <si>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</si>
  <si>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</si>
  <si>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</si>
  <si>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</si>
  <si>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</si>
  <si>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</si>
  <si>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</si>
  <si>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</si>
  <si>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</si>
  <si>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</si>
  <si>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</si>
  <si>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</si>
  <si>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</si>
  <si>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</si>
  <si>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</si>
  <si>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</si>
  <si>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</si>
  <si>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</si>
  <si>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</si>
  <si>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</si>
  <si>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</si>
  <si>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</si>
  <si>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</si>
  <si>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</si>
  <si>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</si>
  <si>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</si>
  <si>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</si>
  <si>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</si>
  <si>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</si>
  <si>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</si>
  <si>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</si>
  <si>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</si>
  <si>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</si>
  <si>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</si>
  <si>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</si>
  <si>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</si>
  <si>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</si>
  <si>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</si>
  <si>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</si>
  <si>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</si>
  <si>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</si>
  <si>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</si>
  <si>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</si>
  <si>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</si>
  <si>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</si>
  <si>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</si>
  <si>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</si>
  <si>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</si>
  <si>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</si>
  <si>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</si>
  <si>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</si>
  <si>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</si>
  <si>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</si>
  <si>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</si>
  <si>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</si>
  <si>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</si>
  <si>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</si>
  <si>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</si>
  <si>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</si>
  <si>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</si>
  <si>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</si>
  <si>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</si>
  <si>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</si>
  <si>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</si>
  <si>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</si>
  <si>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</si>
  <si>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</si>
  <si>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</si>
  <si>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</si>
  <si>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</si>
  <si>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</si>
  <si>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</si>
  <si>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</si>
  <si>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</si>
  <si>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</si>
  <si>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</si>
  <si>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</si>
  <si>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</si>
  <si>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</si>
  <si>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</si>
  <si>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</si>
  <si>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</si>
  <si>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</si>
  <si>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</si>
  <si>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</si>
  <si>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</si>
  <si>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</si>
  <si>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</si>
  <si>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</si>
  <si>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</si>
  <si>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</si>
  <si>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</si>
  <si>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</si>
  <si>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</si>
  <si>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</si>
  <si>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</si>
  <si>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</si>
  <si>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</si>
  <si>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</si>
  <si>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</si>
  <si>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</si>
  <si>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</si>
  <si>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</si>
  <si>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</si>
  <si>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</si>
  <si>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</si>
  <si>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</si>
  <si>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</si>
  <si>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</si>
  <si>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</si>
  <si>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</si>
  <si>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</si>
  <si>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</si>
  <si>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</si>
  <si>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</si>
  <si>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</si>
  <si>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</si>
  <si>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</si>
  <si>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</si>
  <si>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</si>
  <si>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</si>
  <si>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</si>
  <si>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</si>
  <si>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</si>
  <si>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</si>
  <si>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</si>
  <si>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</si>
  <si>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</si>
  <si>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</si>
  <si>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</si>
  <si>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</si>
  <si>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</si>
  <si>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</si>
  <si>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</si>
  <si>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</si>
  <si>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</si>
  <si>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</si>
  <si>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</si>
  <si>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</si>
  <si>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</si>
  <si>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</si>
  <si>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</si>
  <si>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</si>
  <si>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</si>
  <si>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</si>
  <si>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</si>
  <si>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</si>
  <si>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</si>
  <si>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</si>
  <si>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</si>
  <si>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</si>
  <si>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</si>
  <si>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</si>
  <si>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</si>
  <si>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</si>
  <si>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</si>
  <si>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</si>
  <si>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</si>
  <si>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</si>
  <si>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</si>
  <si>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</si>
  <si>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</si>
  <si>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</si>
  <si>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</si>
  <si>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</si>
  <si>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</si>
  <si>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</si>
  <si>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</si>
  <si>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</si>
  <si>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</si>
  <si>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</si>
  <si>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</si>
  <si>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</si>
  <si>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</si>
  <si>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</si>
  <si>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</si>
  <si>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</si>
  <si>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</si>
  <si>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</si>
  <si>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</si>
  <si>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</si>
  <si>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</si>
  <si>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</si>
  <si>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</si>
  <si>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</si>
  <si>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</si>
  <si>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</si>
  <si>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</si>
  <si>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</si>
  <si>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</si>
  <si>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</si>
  <si>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</si>
  <si>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</si>
  <si>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</si>
  <si>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</si>
  <si>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</si>
  <si>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</si>
  <si>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</si>
  <si>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</si>
  <si>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</si>
  <si>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</si>
  <si>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</si>
  <si>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</si>
  <si>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</si>
  <si>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</si>
  <si>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</si>
  <si>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</si>
  <si>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</si>
  <si>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</si>
  <si>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</si>
  <si>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</si>
  <si>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</si>
  <si>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</si>
  <si>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</si>
  <si>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</si>
  <si>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</si>
  <si>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</si>
  <si>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</si>
  <si>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</si>
  <si>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</si>
  <si>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</si>
  <si>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</si>
  <si>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</si>
  <si>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</si>
  <si>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</si>
  <si>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</si>
  <si>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</si>
  <si>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</si>
  <si>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</si>
  <si>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</si>
  <si>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</si>
  <si>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</si>
  <si>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</si>
  <si>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</si>
  <si>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</si>
  <si>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</si>
  <si>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</si>
  <si>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</si>
  <si>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</si>
  <si>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</si>
  <si>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</si>
  <si>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</si>
  <si>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</si>
  <si>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</si>
  <si>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</si>
  <si>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</si>
  <si>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</si>
  <si>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</si>
  <si>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</si>
  <si>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</si>
  <si>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</si>
  <si>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</si>
  <si>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</si>
  <si>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</si>
  <si>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</si>
  <si>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</si>
  <si>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</si>
  <si>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</si>
  <si>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</si>
  <si>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</si>
  <si>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</si>
  <si>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</si>
  <si>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</si>
  <si>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</si>
  <si>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</si>
  <si>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</si>
  <si>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</si>
  <si>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</si>
  <si>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</si>
  <si>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</si>
  <si>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</si>
  <si>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</si>
  <si>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</si>
  <si>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</si>
  <si>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</si>
  <si>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</si>
  <si>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</si>
  <si>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</si>
  <si>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</si>
  <si>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</si>
  <si>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</si>
  <si>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</si>
  <si>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</si>
  <si>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</si>
  <si>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</si>
  <si>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</si>
  <si>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</si>
  <si>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</si>
  <si>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</si>
  <si>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</si>
  <si>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</si>
  <si>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</si>
  <si>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</si>
  <si>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</si>
  <si>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</si>
  <si>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</si>
  <si>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</si>
  <si>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</si>
  <si>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</si>
  <si>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</si>
  <si>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</si>
  <si>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</si>
  <si>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</si>
  <si>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</si>
  <si>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</si>
  <si>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</si>
  <si>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</si>
  <si>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</si>
  <si>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</si>
  <si>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</si>
  <si>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</si>
  <si>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</si>
  <si>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</si>
  <si>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</si>
  <si>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</si>
  <si>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</si>
  <si>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</si>
  <si>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</si>
  <si>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</si>
  <si>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</si>
  <si>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</si>
  <si>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</si>
  <si>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</si>
  <si>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</si>
  <si>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</si>
  <si>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</si>
  <si>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</si>
  <si>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</si>
  <si>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</si>
  <si>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</si>
  <si>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</si>
  <si>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</si>
  <si>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</si>
  <si>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</si>
  <si>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</si>
  <si>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</si>
  <si>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</si>
  <si>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</si>
  <si>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</si>
  <si>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</si>
  <si>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</si>
  <si>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</si>
  <si>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</si>
  <si>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</si>
  <si>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</si>
  <si>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</si>
  <si>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</si>
  <si>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</si>
  <si>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</si>
  <si>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</si>
  <si>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</si>
  <si>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</si>
  <si>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</si>
  <si>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</si>
  <si>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</si>
  <si>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</si>
  <si>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</si>
  <si>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</si>
  <si>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</si>
  <si>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</si>
  <si>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</si>
  <si>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</si>
  <si>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</si>
  <si>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</si>
  <si>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</si>
  <si>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</si>
  <si>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</si>
  <si>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</si>
  <si>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</si>
  <si>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</si>
  <si>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</si>
  <si>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</si>
  <si>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</si>
  <si>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</si>
  <si>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</si>
  <si>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</si>
  <si>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</si>
  <si>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</si>
  <si>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</si>
  <si>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</si>
  <si>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</si>
  <si>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</si>
  <si>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</si>
  <si>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</si>
  <si>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</si>
  <si>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</si>
  <si>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</si>
  <si>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</si>
  <si>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</si>
  <si>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</si>
  <si>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</si>
  <si>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</si>
  <si>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</si>
  <si>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</si>
  <si>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</si>
  <si>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</si>
  <si>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</si>
  <si>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</si>
  <si>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</si>
  <si>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</si>
  <si>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</si>
  <si>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</si>
  <si>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</si>
  <si>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</si>
  <si>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</si>
  <si>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</si>
  <si>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</si>
  <si>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</si>
  <si>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</si>
  <si>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</si>
  <si>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</si>
  <si>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</si>
  <si>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</si>
  <si>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</si>
  <si>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</si>
  <si>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</si>
  <si>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</si>
  <si>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</si>
  <si>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</si>
  <si>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</si>
  <si>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</si>
  <si>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</si>
  <si>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</si>
  <si>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</si>
  <si>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</si>
  <si>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</si>
  <si>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</si>
  <si>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</si>
  <si>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</si>
  <si>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</si>
  <si>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</si>
  <si>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</si>
  <si>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</si>
  <si>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</si>
  <si>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</si>
  <si>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</si>
  <si>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</si>
  <si>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</si>
  <si>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</si>
  <si>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</si>
  <si>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</si>
  <si>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</si>
  <si>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</si>
  <si>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</si>
  <si>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</si>
  <si>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</si>
  <si>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</si>
  <si>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</si>
  <si>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</si>
  <si>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</si>
  <si>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</si>
  <si>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</si>
  <si>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</si>
  <si>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</si>
  <si>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</si>
  <si>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</si>
  <si>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</si>
  <si>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</si>
  <si>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</si>
  <si>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</si>
  <si>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</si>
  <si>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</si>
  <si>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</si>
  <si>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</si>
  <si>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</si>
  <si>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</si>
  <si>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</si>
  <si>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</si>
  <si>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</si>
  <si>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</si>
  <si>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</si>
  <si>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</si>
  <si>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</si>
  <si>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</si>
  <si>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</si>
  <si>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</si>
  <si>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</si>
  <si>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</si>
  <si>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</si>
  <si>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</si>
  <si>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</si>
  <si>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</si>
  <si>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</si>
  <si>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</si>
  <si>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</si>
  <si>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</si>
  <si>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</si>
  <si>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</si>
  <si>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</si>
  <si>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</si>
  <si>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</si>
  <si>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</si>
  <si>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</si>
  <si>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</si>
  <si>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</si>
  <si>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</si>
  <si>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</si>
  <si>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</si>
  <si>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</si>
  <si>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</si>
  <si>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</si>
  <si>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</si>
  <si>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</si>
  <si>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</si>
  <si>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</si>
  <si>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</si>
  <si>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</si>
  <si>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</si>
  <si>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</si>
  <si>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</si>
  <si>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</si>
  <si>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</si>
  <si>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</si>
  <si>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</si>
  <si>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</si>
  <si>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</si>
  <si>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</si>
  <si>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</si>
  <si>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</si>
  <si>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</si>
  <si>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</si>
  <si>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</si>
  <si>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</si>
  <si>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</si>
  <si>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</si>
  <si>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</si>
  <si>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</si>
  <si>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</si>
  <si>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</si>
  <si>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</si>
  <si>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</si>
  <si>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</si>
  <si>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</si>
  <si>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</si>
  <si>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</si>
  <si>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</si>
  <si>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</si>
  <si>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</si>
  <si>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</si>
  <si>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</si>
  <si>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</si>
  <si>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</si>
  <si>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</si>
  <si>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</si>
  <si>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</si>
  <si>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</si>
  <si>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</si>
  <si>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</si>
  <si>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</si>
  <si>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</si>
  <si>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</si>
  <si>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</si>
  <si>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</si>
  <si>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</si>
  <si>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</si>
  <si>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</si>
  <si>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</si>
  <si>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</si>
  <si>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</si>
  <si>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</si>
  <si>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</si>
  <si>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</si>
  <si>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</si>
  <si>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</si>
  <si>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</si>
  <si>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</si>
  <si>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</si>
  <si>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</si>
  <si>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</si>
  <si>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</si>
  <si>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</si>
  <si>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</si>
  <si>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</si>
  <si>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</si>
  <si>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</si>
  <si>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</si>
  <si>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</si>
  <si>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</si>
  <si>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</si>
  <si>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</si>
  <si>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</si>
  <si>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</si>
  <si>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</si>
  <si>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</si>
  <si>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</si>
  <si>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</si>
  <si>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</si>
  <si>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</si>
  <si>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</si>
  <si>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</si>
  <si>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</si>
  <si>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</si>
  <si>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</si>
  <si>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</si>
  <si>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</si>
  <si>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</si>
  <si>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</si>
  <si>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</si>
  <si>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</si>
  <si>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</si>
  <si>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</si>
  <si>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</si>
  <si>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</si>
  <si>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</si>
  <si>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</si>
  <si>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</si>
  <si>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</si>
  <si>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</si>
  <si>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</si>
  <si>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</si>
  <si>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</si>
  <si>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</si>
  <si>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</si>
  <si>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</si>
  <si>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</si>
  <si>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</si>
  <si>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</si>
  <si>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</si>
  <si>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</si>
  <si>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</si>
  <si>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</si>
  <si>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</si>
  <si>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</si>
  <si>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</si>
  <si>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</si>
  <si>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</si>
  <si>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</si>
  <si>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</si>
  <si>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</si>
  <si>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</si>
  <si>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</si>
  <si>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</si>
  <si>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</si>
  <si>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</si>
  <si>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</si>
  <si>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</si>
  <si>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</si>
  <si>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</si>
  <si>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</si>
  <si>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</si>
  <si>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</si>
  <si>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</si>
  <si>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</si>
  <si>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</si>
  <si>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</si>
  <si>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</si>
  <si>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</si>
  <si>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</si>
  <si>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</si>
  <si>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</si>
  <si>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</si>
  <si>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</si>
  <si>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</si>
  <si>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</si>
  <si>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</si>
  <si>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</si>
  <si>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</si>
  <si>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</si>
  <si>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</si>
  <si>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</si>
  <si>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</si>
  <si>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</si>
  <si>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</si>
  <si>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</si>
  <si>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</si>
  <si>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</si>
  <si>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</si>
  <si>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</si>
  <si>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</si>
  <si>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</si>
  <si>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</si>
  <si>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</si>
  <si>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</si>
  <si>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</si>
  <si>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</si>
  <si>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</si>
  <si>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</si>
  <si>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</si>
  <si>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</si>
  <si>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</si>
  <si>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</si>
  <si>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</si>
  <si>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</si>
  <si>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</si>
  <si>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</si>
  <si>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</si>
  <si>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</si>
  <si>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</si>
  <si>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</si>
  <si>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</si>
  <si>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</si>
  <si>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</si>
  <si>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</si>
  <si>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</si>
  <si>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</si>
  <si>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</si>
  <si>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</si>
  <si>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</si>
  <si>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</si>
  <si>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</si>
  <si>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</si>
  <si>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</si>
  <si>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</si>
  <si>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</si>
  <si>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</si>
  <si>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</si>
  <si>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</si>
  <si>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</si>
  <si>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</si>
  <si>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</si>
  <si>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</si>
  <si>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</si>
  <si>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</si>
  <si>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</si>
  <si>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</si>
  <si>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</si>
  <si>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</si>
  <si>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</si>
  <si>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</si>
  <si>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</si>
  <si>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</si>
  <si>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</si>
  <si>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</si>
  <si>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</si>
  <si>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</si>
  <si>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</si>
  <si>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</si>
  <si>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</si>
  <si>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</si>
  <si>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</si>
  <si>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</si>
  <si>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</si>
  <si>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</si>
  <si>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</si>
  <si>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</si>
  <si>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</si>
  <si>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</si>
  <si>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</si>
  <si>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</si>
  <si>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</si>
  <si>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</si>
  <si>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</si>
  <si>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</si>
  <si>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</si>
  <si>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</si>
  <si>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</si>
  <si>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</si>
  <si>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</si>
  <si>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</si>
  <si>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</si>
  <si>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</si>
  <si>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</si>
  <si>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</si>
  <si>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</si>
  <si>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</si>
  <si>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</si>
  <si>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</si>
  <si>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</si>
  <si>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</si>
  <si>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</si>
  <si>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</si>
  <si>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</si>
  <si>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</si>
  <si>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</si>
  <si>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</si>
  <si>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</si>
  <si>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</si>
  <si>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</si>
  <si>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</si>
  <si>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</si>
  <si>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</si>
  <si>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</si>
  <si>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</si>
  <si>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</si>
  <si>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</si>
  <si>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</si>
  <si>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</si>
  <si>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</si>
  <si>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</si>
  <si>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</si>
  <si>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</si>
  <si>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</si>
  <si>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</si>
  <si>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</si>
  <si>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</si>
  <si>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</si>
  <si>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</si>
  <si>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</si>
  <si>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</si>
  <si>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</si>
  <si>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</si>
  <si>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</si>
  <si>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</si>
  <si>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</si>
  <si>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</si>
  <si>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</si>
  <si>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</si>
  <si>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</si>
  <si>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</si>
  <si>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</si>
  <si>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</si>
  <si>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</si>
  <si>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</si>
  <si>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</si>
  <si>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</si>
  <si>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</si>
  <si>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</si>
  <si>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</si>
  <si>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</si>
  <si>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</si>
  <si>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</si>
  <si>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</si>
  <si>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</si>
  <si>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</si>
  <si>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</si>
  <si>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</si>
  <si>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</si>
  <si>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</si>
  <si>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</si>
  <si>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</si>
  <si>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</si>
  <si>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</si>
  <si>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</si>
  <si>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</si>
  <si>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</si>
  <si>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</si>
  <si>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</si>
  <si>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</si>
  <si>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</si>
  <si>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</si>
  <si>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</si>
  <si>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</si>
  <si>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</si>
  <si>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</si>
  <si>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</si>
  <si>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</si>
  <si>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</si>
  <si>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</si>
  <si>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</si>
  <si>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</si>
  <si>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</si>
  <si>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</si>
  <si>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</si>
  <si>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</si>
  <si>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</si>
  <si>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</si>
  <si>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</si>
  <si>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</si>
  <si>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</si>
  <si>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</si>
  <si>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</si>
  <si>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</si>
  <si>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</si>
  <si>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</si>
  <si>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</si>
  <si>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</si>
  <si>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</si>
  <si>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</si>
  <si>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</si>
  <si>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</si>
  <si>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</si>
  <si>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</si>
  <si>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</si>
  <si>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</si>
  <si>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</si>
  <si>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</si>
  <si>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</si>
  <si>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</si>
  <si>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</si>
  <si>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</si>
  <si>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</si>
  <si>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</si>
  <si>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</si>
  <si>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</si>
  <si>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</si>
  <si>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</si>
  <si>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</si>
  <si>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</si>
  <si>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</si>
  <si>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</si>
  <si>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</si>
  <si>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</si>
  <si>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</si>
  <si>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</si>
  <si>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</si>
  <si>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</si>
  <si>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</si>
  <si>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</si>
  <si>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</si>
  <si>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</si>
  <si>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</si>
  <si>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</si>
  <si>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</si>
  <si>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</si>
  <si>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</si>
  <si>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</si>
  <si>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</si>
  <si>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</si>
  <si>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</si>
  <si>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</si>
  <si>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</si>
  <si>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</si>
  <si>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</si>
  <si>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</si>
  <si>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</si>
  <si>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</si>
  <si>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</si>
  <si>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</si>
  <si>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</si>
  <si>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</si>
  <si>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</si>
  <si>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</si>
  <si>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</si>
  <si>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</si>
  <si>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</si>
  <si>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</si>
  <si>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</si>
  <si>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</si>
  <si>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</si>
  <si>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</si>
  <si>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</si>
  <si>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</si>
  <si>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</si>
  <si>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</si>
  <si>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</si>
  <si>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</si>
  <si>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</si>
  <si>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</si>
  <si>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</si>
  <si>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</si>
  <si>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</si>
  <si>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</si>
  <si>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</si>
  <si>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</si>
  <si>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</si>
  <si>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</si>
  <si>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</si>
  <si>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</si>
  <si>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</si>
  <si>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</si>
  <si>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</si>
  <si>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</si>
  <si>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</si>
  <si>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</si>
  <si>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</si>
  <si>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</si>
  <si>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</si>
  <si>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</si>
  <si>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</si>
  <si>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</si>
  <si>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</si>
  <si>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</si>
  <si>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</si>
  <si>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</si>
  <si>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</si>
  <si>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</si>
  <si>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</si>
  <si>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</si>
  <si>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</si>
  <si>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</si>
  <si>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</si>
  <si>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</si>
  <si>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</si>
  <si>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</si>
  <si>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</si>
  <si>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</si>
  <si>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</si>
  <si>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</si>
  <si>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</si>
  <si>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</si>
  <si>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</si>
  <si>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</si>
  <si>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</si>
  <si>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</si>
  <si>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</si>
  <si>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</si>
  <si>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</si>
  <si>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</si>
  <si>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</si>
  <si>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</si>
  <si>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</si>
  <si>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</si>
  <si>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</si>
  <si>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</si>
  <si>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</si>
  <si>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</si>
  <si>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</si>
  <si>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</si>
  <si>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</si>
  <si>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</si>
  <si>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</si>
  <si>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</si>
  <si>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</si>
  <si>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</si>
  <si>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</si>
  <si>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</si>
  <si>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</si>
  <si>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</si>
  <si>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</si>
  <si>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</si>
  <si>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</si>
  <si>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</si>
  <si>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</si>
  <si>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</si>
  <si>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</si>
  <si>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</si>
  <si>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</si>
  <si>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</si>
  <si>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</si>
  <si>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</si>
  <si>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</si>
  <si>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</si>
  <si>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</si>
  <si>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</si>
  <si>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</si>
  <si>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</si>
  <si>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</si>
  <si>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</si>
  <si>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</si>
  <si>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</si>
  <si>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</si>
  <si>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</si>
  <si>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</si>
  <si>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</si>
  <si>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</si>
  <si>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</si>
  <si>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</si>
  <si>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</si>
  <si>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</si>
  <si>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</si>
  <si>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</si>
  <si>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</si>
  <si>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</si>
  <si>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</si>
  <si>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</si>
  <si>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</si>
  <si>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</si>
  <si>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</si>
  <si>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</si>
  <si>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</si>
  <si>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</si>
  <si>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</si>
  <si>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</si>
  <si>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</si>
  <si>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</si>
  <si>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</si>
  <si>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</si>
  <si>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</si>
  <si>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</si>
  <si>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</si>
  <si>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</si>
  <si>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</si>
  <si>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</si>
  <si>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</si>
  <si>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</si>
  <si>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</si>
  <si>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</si>
  <si>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</si>
  <si>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</si>
  <si>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</si>
  <si>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</si>
  <si>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</si>
  <si>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</si>
  <si>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</si>
  <si>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</si>
  <si>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</si>
  <si>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</si>
  <si>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</si>
  <si>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</si>
  <si>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</si>
  <si>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</si>
  <si>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</si>
  <si>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</si>
  <si>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</si>
  <si>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</si>
  <si>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</si>
  <si>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</si>
  <si>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</si>
  <si>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</si>
  <si>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</si>
  <si>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</si>
  <si>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</si>
  <si>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</si>
  <si>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</si>
  <si>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</si>
  <si>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</si>
  <si>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</si>
  <si>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</si>
  <si>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</si>
  <si>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</si>
  <si>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</si>
  <si>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</si>
  <si>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</si>
  <si>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</si>
  <si>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</si>
  <si>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</si>
  <si>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</si>
  <si>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</si>
  <si>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</si>
  <si>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</si>
  <si>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</si>
  <si>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</si>
  <si>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</si>
  <si>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</si>
  <si>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</si>
  <si>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</si>
  <si>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</si>
  <si>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</si>
  <si>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</si>
  <si>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</si>
  <si>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</si>
  <si>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</si>
  <si>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</si>
  <si>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</si>
  <si>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</si>
  <si>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</si>
  <si>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</si>
  <si>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</si>
  <si>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</si>
  <si>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</si>
  <si>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</si>
  <si>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</si>
  <si>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</si>
  <si>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</si>
  <si>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</si>
  <si>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</si>
  <si>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</si>
  <si>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</si>
  <si>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</si>
  <si>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</si>
  <si>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</si>
  <si>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</si>
  <si>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</si>
  <si>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</si>
  <si>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</si>
  <si>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</si>
  <si>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</si>
  <si>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</si>
  <si>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</si>
  <si>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</si>
  <si>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</si>
  <si>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</si>
  <si>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</si>
  <si>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</si>
  <si>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</si>
  <si>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</si>
  <si>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</si>
  <si>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</si>
  <si>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</si>
  <si>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</si>
  <si>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</si>
  <si>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</si>
  <si>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</si>
  <si>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</si>
  <si>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</si>
  <si>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</si>
  <si>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</si>
  <si>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</si>
  <si>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</si>
  <si>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</si>
  <si>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</si>
  <si>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</si>
  <si>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</si>
  <si>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</si>
  <si>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</si>
  <si>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</si>
  <si>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</si>
  <si>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</si>
  <si>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</si>
  <si>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</si>
  <si>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</si>
  <si>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</si>
  <si>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</si>
  <si>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</si>
  <si>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</si>
  <si>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</si>
  <si>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</si>
  <si>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</si>
  <si>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</si>
  <si>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</si>
  <si>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</si>
  <si>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</si>
  <si>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</si>
  <si>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</si>
  <si>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</si>
  <si>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</si>
  <si>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</si>
  <si>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</si>
  <si>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</si>
  <si>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</si>
  <si>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</si>
  <si>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</si>
  <si>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</si>
  <si>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</si>
  <si>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</si>
  <si>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</si>
  <si>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</si>
  <si>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</si>
  <si>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</si>
  <si>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</si>
  <si>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</si>
  <si>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</si>
  <si>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</si>
  <si>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</si>
  <si>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</si>
  <si>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</si>
  <si>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</si>
  <si>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</si>
  <si>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</si>
  <si>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</si>
  <si>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</si>
  <si>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</si>
  <si>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</si>
  <si>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</si>
  <si>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</si>
  <si>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</si>
  <si>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</si>
  <si>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</si>
  <si>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</si>
  <si>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</si>
  <si>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</si>
  <si>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</si>
  <si>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</si>
  <si>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</si>
  <si>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</si>
  <si>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</si>
  <si>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</si>
  <si>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</si>
  <si>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</si>
  <si>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</si>
  <si>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</si>
  <si>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</si>
  <si>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</si>
  <si>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</si>
  <si>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</si>
  <si>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</si>
  <si>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</si>
  <si>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</si>
  <si>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</si>
  <si>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</si>
  <si>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</si>
  <si>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</si>
  <si>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</si>
  <si>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</si>
  <si>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</si>
  <si>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</si>
  <si>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</si>
  <si>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</si>
  <si>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</si>
  <si>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</si>
  <si>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</si>
  <si>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</si>
  <si>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</si>
  <si>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</si>
  <si>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</si>
  <si>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</si>
  <si>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</si>
  <si>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</si>
  <si>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</si>
  <si>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</si>
  <si>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</si>
  <si>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</si>
  <si>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</si>
  <si>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</si>
  <si>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</si>
  <si>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</si>
  <si>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</si>
  <si>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</si>
  <si>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</si>
  <si>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</si>
  <si>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</si>
  <si>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</si>
  <si>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</si>
  <si>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</si>
  <si>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</si>
  <si>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</si>
  <si>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</si>
  <si>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</si>
  <si>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</si>
  <si>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</si>
  <si>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</si>
  <si>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</si>
  <si>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</si>
  <si>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</si>
  <si>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</si>
  <si>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</si>
  <si>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</si>
  <si>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</si>
  <si>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</si>
  <si>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</si>
  <si>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</si>
  <si>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</si>
  <si>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</si>
  <si>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</si>
  <si>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</si>
  <si>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</si>
  <si>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</si>
  <si>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</si>
  <si>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</si>
  <si>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</si>
  <si>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</si>
  <si>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</si>
  <si>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</si>
  <si>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</si>
  <si>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</si>
  <si>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</si>
  <si>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</si>
  <si>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</si>
  <si>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</si>
  <si>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</si>
  <si>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</si>
  <si>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</si>
  <si>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</si>
  <si>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</si>
  <si>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</si>
  <si>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</si>
  <si>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</si>
  <si>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</si>
  <si>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</si>
  <si>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</si>
  <si>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</si>
  <si>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</si>
  <si>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</si>
  <si>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</si>
  <si>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</si>
  <si>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</si>
  <si>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</si>
  <si>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</si>
  <si>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</si>
  <si>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</si>
  <si>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</si>
  <si>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</si>
  <si>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</si>
  <si>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</si>
  <si>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</si>
  <si>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</si>
  <si>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</si>
  <si>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</si>
  <si>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</si>
  <si>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</si>
  <si>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</si>
  <si>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</si>
  <si>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</si>
  <si>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</si>
  <si>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</si>
  <si>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</si>
  <si>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</si>
  <si>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</si>
  <si>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</si>
  <si>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</si>
  <si>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</si>
  <si>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</si>
  <si>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</si>
  <si>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</si>
  <si>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</si>
  <si>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</si>
  <si>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</si>
  <si>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</si>
  <si>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</si>
  <si>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</si>
  <si>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</si>
  <si>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</si>
  <si>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</si>
  <si>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</si>
  <si>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</si>
  <si>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</si>
  <si>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</si>
  <si>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</si>
  <si>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</si>
  <si>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</si>
  <si>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</si>
  <si>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</si>
  <si>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</si>
  <si>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</si>
  <si>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</si>
  <si>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</si>
  <si>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</si>
  <si>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</si>
  <si>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</si>
  <si>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</si>
  <si>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</si>
  <si>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</si>
  <si>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</si>
  <si>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</si>
  <si>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</si>
  <si>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</si>
  <si>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</si>
  <si>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</si>
  <si>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</si>
  <si>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</si>
  <si>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</si>
  <si>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</si>
  <si>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</si>
  <si>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</si>
  <si>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</si>
  <si>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</si>
  <si>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</si>
  <si>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</si>
  <si>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</si>
  <si>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</si>
  <si>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</si>
  <si>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</si>
  <si>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</si>
  <si>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</si>
  <si>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</si>
  <si>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</si>
  <si>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</si>
  <si>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</si>
  <si>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</si>
  <si>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</si>
  <si>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</si>
  <si>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</si>
  <si>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</si>
  <si>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</si>
  <si>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</si>
  <si>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</si>
  <si>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</si>
  <si>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</si>
  <si>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</si>
  <si>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</si>
  <si>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</si>
  <si>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</si>
  <si>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</si>
  <si>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</si>
  <si>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</si>
  <si>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</si>
  <si>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</si>
  <si>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</si>
  <si>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</si>
  <si>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</si>
  <si>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</si>
  <si>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</si>
  <si>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</si>
  <si>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</si>
  <si>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</si>
  <si>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</si>
  <si>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</si>
  <si>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</si>
  <si>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</si>
  <si>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</si>
  <si>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</si>
  <si>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</si>
  <si>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</si>
  <si>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</si>
  <si>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</si>
  <si>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</si>
  <si>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</si>
  <si>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</si>
  <si>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</si>
  <si>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</si>
  <si>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</si>
  <si>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</si>
  <si>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</si>
  <si>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</si>
  <si>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</si>
  <si>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</si>
  <si>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</si>
  <si>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</si>
  <si>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</si>
  <si>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</si>
  <si>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</si>
  <si>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</si>
  <si>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</si>
  <si>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</si>
  <si>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</si>
  <si>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</si>
  <si>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</si>
  <si>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</si>
  <si>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</si>
  <si>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</si>
  <si>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</si>
  <si>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</si>
  <si>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</si>
  <si>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</si>
  <si>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</si>
  <si>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</si>
  <si>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</si>
  <si>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</si>
  <si>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</si>
  <si>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</si>
  <si>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</si>
  <si>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</si>
  <si>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</si>
  <si>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</si>
  <si>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</si>
  <si>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</si>
  <si>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</si>
  <si>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</si>
  <si>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</si>
  <si>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</si>
  <si>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</si>
  <si>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</si>
  <si>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</si>
  <si>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</si>
  <si>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</si>
  <si>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</si>
  <si>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</si>
  <si>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</si>
  <si>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</si>
  <si>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</si>
  <si>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</si>
  <si>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</si>
  <si>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</si>
  <si>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</si>
  <si>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</si>
  <si>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</si>
  <si>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</si>
  <si>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</si>
  <si>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</si>
  <si>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</si>
  <si>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</si>
  <si>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</si>
  <si>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</si>
  <si>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</si>
  <si>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</si>
  <si>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</si>
  <si>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</si>
  <si>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</si>
  <si>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</si>
  <si>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</si>
  <si>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</si>
  <si>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</si>
  <si>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</si>
  <si>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</si>
  <si>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</si>
  <si>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</si>
  <si>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</si>
  <si>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</si>
  <si>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</si>
  <si>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</si>
  <si>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</si>
  <si>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</si>
  <si>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</si>
  <si>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</si>
  <si>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</si>
  <si>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</si>
  <si>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</si>
  <si>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</si>
  <si>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</si>
  <si>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</si>
  <si>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</si>
  <si>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</si>
  <si>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</si>
  <si>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</si>
  <si>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</si>
  <si>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</si>
  <si>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</si>
  <si>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</si>
  <si>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</si>
  <si>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</si>
  <si>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</si>
  <si>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</si>
  <si>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</si>
  <si>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</si>
  <si>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</si>
  <si>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</si>
  <si>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</si>
  <si>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</si>
  <si>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</si>
  <si>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</si>
  <si>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</si>
  <si>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</si>
  <si>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</si>
  <si>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</si>
  <si>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</si>
  <si>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</si>
  <si>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</si>
  <si>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</si>
  <si>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</si>
  <si>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</si>
  <si>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</si>
  <si>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</si>
  <si>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</si>
  <si>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</si>
  <si>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</si>
  <si>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</si>
  <si>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</si>
  <si>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</si>
  <si>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</si>
  <si>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</si>
  <si>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</si>
  <si>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</si>
  <si>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</si>
  <si>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</si>
  <si>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</si>
  <si>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</si>
  <si>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</si>
  <si>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</si>
  <si>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</si>
  <si>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</si>
  <si>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</si>
  <si>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</si>
  <si>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</si>
  <si>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</si>
  <si>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</si>
  <si>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</si>
  <si>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</si>
  <si>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</si>
  <si>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</si>
  <si>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</si>
  <si>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</si>
  <si>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</si>
  <si>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</si>
  <si>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</si>
  <si>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</si>
  <si>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</si>
  <si>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</si>
  <si>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</si>
  <si>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</si>
  <si>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</si>
  <si>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</si>
  <si>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</si>
  <si>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</si>
  <si>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</si>
  <si>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</si>
  <si>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</si>
  <si>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</si>
  <si>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</si>
  <si>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</si>
  <si>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</si>
  <si>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</si>
  <si>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</si>
  <si>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</si>
  <si>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</si>
  <si>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</si>
  <si>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</si>
  <si>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</si>
  <si>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</si>
  <si>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</si>
  <si>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</si>
  <si>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</si>
  <si>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</si>
  <si>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</si>
  <si>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</si>
  <si>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</si>
  <si>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</si>
  <si>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</si>
  <si>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</si>
  <si>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</si>
  <si>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</si>
  <si>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</si>
  <si>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</si>
  <si>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</si>
  <si>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</si>
  <si>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</si>
  <si>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</si>
  <si>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</si>
  <si>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</si>
  <si>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</si>
  <si>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</si>
  <si>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</si>
  <si>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</si>
  <si>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</si>
  <si>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</si>
  <si>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</si>
  <si>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</si>
  <si>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</si>
  <si>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</si>
  <si>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</si>
  <si>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</si>
  <si>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</si>
  <si>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</si>
  <si>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</si>
  <si>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</si>
  <si>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</si>
  <si>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</si>
  <si>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</si>
  <si>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</si>
  <si>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</si>
  <si>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</si>
  <si>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</si>
  <si>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</si>
  <si>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</si>
  <si>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</si>
  <si>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</si>
  <si>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</si>
  <si>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</si>
  <si>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</si>
  <si>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</si>
  <si>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</si>
  <si>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</si>
  <si>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</si>
  <si>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</si>
  <si>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</si>
  <si>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</si>
  <si>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</si>
  <si>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</si>
  <si>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</si>
  <si>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</si>
  <si>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</si>
  <si>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</si>
  <si>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</si>
  <si>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</si>
  <si>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</si>
  <si>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</si>
  <si>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</si>
  <si>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</si>
  <si>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</si>
  <si>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</si>
  <si>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</si>
  <si>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</si>
  <si>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</si>
  <si>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</si>
  <si>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</si>
  <si>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</si>
  <si>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</si>
  <si>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</si>
  <si>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</si>
  <si>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</si>
  <si>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</si>
  <si>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</si>
  <si>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</si>
  <si>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</si>
  <si>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</si>
  <si>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</si>
  <si>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</si>
  <si>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</si>
  <si>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</si>
  <si>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</si>
  <si>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</si>
  <si>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</si>
  <si>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</si>
  <si>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</si>
  <si>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</si>
  <si>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</si>
  <si>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</si>
  <si>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</si>
  <si>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</si>
  <si>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</si>
  <si>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</si>
  <si>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</si>
  <si>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</si>
  <si>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</si>
  <si>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</si>
  <si>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</si>
  <si>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</si>
  <si>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</si>
  <si>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</si>
  <si>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</si>
  <si>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</si>
  <si>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</si>
  <si>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</si>
  <si>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</si>
  <si>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</si>
  <si>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</si>
  <si>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</si>
  <si>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</si>
  <si>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</si>
  <si>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</si>
  <si>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</si>
  <si>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</si>
  <si>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</si>
  <si>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</si>
  <si>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</si>
  <si>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</si>
  <si>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</si>
  <si>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</si>
  <si>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</si>
  <si>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</si>
  <si>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</si>
  <si>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</si>
  <si>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</si>
  <si>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</si>
  <si>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</si>
  <si>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</si>
  <si>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</si>
  <si>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</si>
  <si>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</si>
  <si>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</si>
  <si>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</si>
  <si>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</si>
  <si>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</si>
  <si>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</si>
  <si>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</si>
  <si>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</si>
  <si>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</si>
  <si>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</si>
  <si>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</si>
  <si>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</si>
  <si>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</si>
  <si>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</si>
  <si>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</si>
  <si>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</si>
  <si>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</si>
  <si>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</si>
  <si>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</si>
  <si>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</si>
  <si>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</si>
  <si>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</si>
  <si>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</si>
  <si>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</si>
  <si>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</si>
  <si>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</si>
  <si>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</si>
  <si>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</si>
  <si>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</si>
  <si>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</si>
  <si>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</si>
  <si>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</si>
  <si>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</si>
  <si>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</si>
  <si>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</si>
  <si>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</si>
  <si>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</si>
  <si>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</si>
  <si>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</si>
  <si>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</si>
  <si>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</si>
  <si>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</si>
  <si>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</si>
  <si>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</si>
  <si>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</si>
  <si>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</si>
  <si>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</si>
  <si>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</si>
  <si>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</si>
  <si>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</si>
  <si>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</si>
  <si>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</si>
  <si>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</si>
  <si>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</si>
  <si>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</si>
  <si>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</si>
  <si>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</si>
  <si>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</si>
  <si>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</si>
  <si>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</si>
  <si>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</si>
  <si>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</si>
  <si>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</si>
  <si>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</si>
  <si>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</si>
  <si>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</si>
  <si>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</si>
  <si>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</si>
  <si>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</si>
  <si>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</si>
  <si>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</si>
  <si>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</si>
  <si>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</si>
  <si>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</si>
  <si>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</si>
  <si>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</si>
  <si>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</si>
  <si>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</si>
  <si>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</si>
  <si>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</si>
  <si>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</si>
  <si>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</si>
  <si>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</si>
  <si>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</si>
  <si>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</si>
  <si>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</si>
  <si>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</si>
  <si>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</si>
  <si>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</si>
  <si>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</si>
  <si>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</si>
  <si>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</si>
  <si>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</si>
  <si>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</si>
  <si>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</si>
  <si>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</si>
  <si>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</si>
  <si>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</si>
  <si>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</si>
  <si>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</si>
  <si>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</si>
  <si>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</si>
  <si>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</si>
  <si>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</si>
  <si>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</si>
  <si>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</si>
  <si>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</si>
  <si>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</si>
  <si>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</si>
  <si>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</si>
  <si>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</si>
  <si>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</si>
  <si>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</si>
  <si>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</si>
  <si>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</si>
  <si>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</si>
  <si>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</si>
  <si>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</si>
  <si>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</si>
  <si>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</si>
  <si>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</si>
  <si>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</si>
  <si>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</si>
  <si>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</si>
  <si>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</si>
  <si>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</si>
  <si>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</si>
  <si>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</si>
  <si>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</si>
  <si>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</si>
  <si>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</si>
  <si>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</si>
  <si>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</si>
  <si>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</si>
  <si>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</si>
  <si>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</si>
  <si>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</si>
  <si>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</si>
  <si>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</si>
  <si>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</si>
  <si>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</si>
  <si>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</si>
  <si>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</si>
  <si>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</si>
  <si>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</si>
  <si>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</si>
  <si>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</si>
  <si>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</si>
  <si>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</si>
  <si>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</si>
  <si>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</si>
  <si>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</si>
  <si>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</si>
  <si>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</si>
  <si>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</si>
  <si>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</si>
  <si>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</si>
  <si>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</si>
  <si>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</si>
  <si>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</si>
  <si>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</si>
  <si>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</si>
  <si>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</si>
  <si>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</si>
  <si>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</si>
  <si>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</si>
  <si>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</si>
  <si>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</si>
  <si>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</si>
  <si>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</si>
  <si>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</si>
  <si>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</si>
  <si>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</si>
  <si>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</si>
  <si>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</si>
  <si>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</si>
  <si>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</si>
  <si>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</si>
  <si>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</si>
  <si>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</si>
  <si>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</si>
  <si>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</si>
  <si>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</si>
  <si>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</si>
  <si>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</si>
  <si>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</si>
  <si>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</si>
  <si>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</si>
  <si>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</si>
  <si>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</si>
  <si>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</si>
  <si>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</si>
  <si>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</si>
  <si>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</si>
  <si>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</si>
  <si>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</si>
  <si>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</si>
  <si>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</si>
  <si>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</si>
  <si>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</si>
  <si>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</si>
  <si>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</si>
  <si>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</si>
  <si>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</si>
  <si>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</si>
  <si>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</si>
  <si>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</si>
  <si>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</si>
  <si>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</si>
  <si>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</si>
  <si>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</si>
  <si>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</si>
  <si>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</si>
  <si>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</si>
  <si>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</si>
  <si>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</si>
  <si>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</si>
  <si>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</si>
  <si>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</si>
  <si>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</si>
  <si>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</si>
  <si>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</si>
  <si>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</si>
  <si>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</si>
  <si>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</si>
  <si>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</si>
  <si>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</si>
  <si>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</si>
  <si>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</si>
  <si>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</si>
  <si>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</si>
  <si>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</si>
  <si>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</si>
  <si>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</si>
  <si>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</si>
  <si>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</si>
  <si>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</si>
  <si>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</si>
  <si>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</si>
  <si>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</si>
  <si>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</si>
  <si>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</si>
  <si>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</si>
  <si>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</si>
  <si>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</si>
  <si>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</si>
  <si>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</si>
  <si>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</si>
  <si>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</si>
  <si>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</si>
  <si>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</si>
  <si>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</si>
  <si>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</si>
  <si>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</si>
  <si>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</si>
  <si>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</si>
  <si>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</si>
  <si>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</si>
  <si>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</si>
  <si>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</si>
  <si>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</si>
  <si>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</si>
  <si>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</si>
  <si>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</si>
  <si>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</si>
  <si>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</si>
  <si>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</si>
  <si>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</si>
  <si>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</si>
  <si>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</si>
  <si>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</si>
  <si>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</si>
  <si>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</si>
  <si>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</si>
  <si>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</si>
  <si>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</si>
  <si>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</si>
  <si>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</si>
  <si>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</si>
  <si>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</si>
  <si>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</si>
  <si>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</si>
  <si>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</si>
  <si>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</si>
  <si>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</si>
  <si>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</si>
  <si>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</si>
  <si>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</si>
  <si>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</si>
  <si>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</si>
  <si>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</si>
  <si>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</si>
  <si>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</si>
  <si>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</si>
  <si>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</si>
  <si>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</si>
  <si>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</si>
  <si>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</si>
  <si>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</si>
  <si>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</si>
  <si>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</si>
  <si>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</si>
  <si>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</si>
  <si>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</si>
  <si>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</si>
  <si>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</si>
  <si>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</si>
  <si>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</si>
  <si>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</si>
  <si>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</si>
  <si>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</si>
  <si>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</si>
  <si>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</si>
  <si>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</si>
  <si>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</si>
  <si>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</si>
  <si>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</si>
  <si>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</si>
  <si>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</si>
  <si>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</si>
  <si>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</si>
  <si>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</si>
  <si>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</si>
  <si>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</si>
  <si>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</si>
  <si>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</si>
  <si>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</si>
  <si>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</si>
  <si>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</si>
  <si>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</si>
  <si>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</si>
  <si>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</si>
  <si>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</si>
  <si>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</si>
  <si>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</si>
  <si>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</si>
  <si>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</si>
  <si>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</si>
  <si>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</si>
  <si>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</si>
  <si>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</si>
  <si>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</si>
  <si>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</si>
  <si>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</si>
  <si>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</si>
  <si>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</si>
  <si>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</si>
  <si>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</si>
  <si>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</si>
  <si>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</si>
  <si>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</si>
  <si>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</si>
  <si>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</si>
  <si>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</si>
  <si>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</si>
  <si>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</si>
  <si>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</si>
  <si>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</si>
  <si>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</si>
  <si>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</si>
  <si>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</si>
  <si>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</si>
  <si>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</si>
  <si>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</si>
  <si>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</si>
  <si>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</si>
  <si>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</si>
  <si>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</si>
  <si>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</si>
  <si>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</si>
  <si>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</si>
  <si>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</si>
  <si>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</si>
  <si>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</si>
  <si>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</si>
  <si>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</si>
  <si>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</si>
  <si>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</si>
  <si>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</si>
  <si>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</si>
  <si>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</si>
  <si>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</si>
  <si>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</si>
  <si>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</si>
  <si>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</si>
  <si>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</si>
  <si>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</si>
  <si>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</si>
  <si>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</si>
  <si>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</si>
  <si>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</si>
  <si>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</si>
  <si>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</si>
  <si>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</si>
  <si>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</si>
  <si>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</si>
  <si>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</si>
  <si>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</si>
  <si>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</si>
  <si>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</si>
  <si>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</si>
  <si>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</si>
  <si>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</si>
  <si>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</si>
  <si>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</si>
  <si>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</si>
  <si>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</si>
  <si>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</si>
  <si>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</si>
  <si>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</si>
  <si>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</si>
  <si>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</si>
  <si>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</si>
  <si>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</si>
  <si>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</si>
  <si>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</si>
  <si>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</si>
  <si>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</si>
  <si>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</si>
  <si>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</si>
  <si>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</si>
  <si>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</si>
  <si>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</si>
  <si>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</si>
  <si>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</si>
  <si>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</si>
  <si>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</si>
  <si>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</si>
  <si>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</si>
  <si>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</si>
  <si>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</si>
  <si>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</si>
  <si>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</si>
  <si>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</si>
  <si>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</si>
  <si>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</si>
  <si>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</si>
  <si>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</si>
  <si>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</si>
  <si>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</si>
  <si>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</si>
  <si>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</si>
  <si>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</si>
  <si>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</si>
  <si>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</si>
  <si>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</si>
  <si>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</si>
  <si>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</si>
  <si>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</si>
  <si>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</si>
  <si>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</si>
  <si>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</si>
  <si>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</si>
  <si>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</si>
  <si>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</si>
  <si>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</si>
  <si>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</si>
  <si>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</si>
  <si>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</si>
  <si>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</si>
  <si>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</si>
  <si>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</si>
  <si>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</si>
  <si>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</si>
  <si>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</si>
  <si>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</si>
  <si>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</si>
  <si>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</si>
  <si>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</si>
  <si>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</si>
  <si>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</si>
  <si>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</si>
  <si>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</si>
  <si>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</si>
  <si>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</si>
  <si>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</si>
  <si>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</si>
  <si>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</si>
  <si>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</si>
  <si>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</si>
  <si>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</si>
  <si>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</si>
  <si>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</si>
  <si>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</si>
  <si>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</si>
  <si>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</si>
  <si>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</si>
  <si>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</si>
  <si>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</si>
  <si>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</si>
  <si>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</si>
  <si>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</si>
  <si>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</si>
  <si>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</si>
  <si>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</si>
  <si>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</si>
  <si>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</si>
  <si>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</si>
  <si>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</si>
  <si>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</si>
  <si>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</si>
  <si>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</si>
  <si>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</si>
  <si>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</si>
  <si>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</si>
  <si>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</si>
  <si>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</si>
  <si>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</si>
  <si>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</si>
  <si>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</si>
  <si>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</si>
  <si>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</si>
  <si>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</si>
  <si>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</si>
  <si>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</si>
  <si>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</si>
  <si>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</si>
  <si>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</si>
  <si>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</si>
  <si>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</si>
  <si>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</si>
  <si>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</si>
  <si>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</si>
  <si>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</si>
  <si>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</si>
  <si>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</si>
  <si>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</si>
  <si>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</si>
  <si>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</si>
  <si>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</si>
  <si>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</si>
  <si>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</si>
  <si>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</si>
  <si>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</si>
  <si>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</si>
  <si>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</si>
  <si>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</si>
  <si>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</si>
  <si>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</si>
  <si>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</si>
  <si>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</si>
  <si>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</si>
  <si>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</si>
  <si>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</si>
  <si>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</si>
  <si>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</si>
  <si>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</si>
  <si>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</si>
  <si>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</si>
  <si>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</si>
  <si>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</si>
  <si>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</si>
  <si>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</si>
  <si>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</si>
  <si>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</si>
  <si>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</si>
  <si>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</si>
  <si>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</si>
  <si>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</si>
  <si>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</si>
  <si>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</si>
  <si>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</si>
  <si>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</si>
  <si>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</si>
  <si>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</si>
  <si>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</si>
  <si>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</si>
  <si>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</si>
  <si>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</si>
  <si>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</si>
  <si>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</si>
  <si>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</si>
  <si>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</si>
  <si>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</si>
  <si>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</si>
  <si>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</si>
  <si>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</si>
  <si>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</si>
  <si>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</si>
  <si>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</si>
  <si>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</si>
  <si>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</si>
  <si>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</si>
  <si>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</si>
  <si>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</si>
  <si>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</si>
  <si>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</si>
  <si>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</si>
  <si>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</si>
  <si>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</si>
  <si>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</si>
  <si>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</si>
  <si>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</si>
  <si>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</si>
  <si>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</si>
  <si>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</si>
  <si>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</si>
  <si>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</si>
  <si>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</si>
  <si>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</si>
  <si>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</si>
  <si>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</si>
  <si>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</si>
  <si>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</si>
  <si>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</si>
  <si>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</si>
  <si>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</si>
  <si>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</si>
  <si>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</si>
  <si>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</si>
  <si>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</si>
  <si>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</si>
  <si>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</si>
  <si>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</si>
  <si>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</si>
  <si>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</si>
  <si>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</si>
  <si>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</si>
  <si>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</si>
  <si>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</si>
  <si>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</si>
  <si>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</si>
  <si>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</si>
  <si>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</si>
  <si>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</si>
  <si>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</si>
  <si>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</si>
  <si>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</si>
  <si>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</si>
  <si>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</si>
  <si>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</si>
  <si>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</si>
  <si>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</si>
  <si>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</si>
  <si>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</si>
  <si>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</si>
  <si>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</si>
  <si>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</si>
  <si>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</si>
  <si>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</si>
  <si>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</si>
  <si>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</si>
  <si>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</si>
  <si>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</si>
  <si>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</si>
  <si>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</si>
  <si>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</si>
  <si>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</si>
  <si>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</si>
  <si>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</si>
  <si>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</si>
  <si>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</si>
  <si>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</si>
  <si>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</si>
  <si>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</si>
  <si>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</si>
  <si>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</si>
  <si>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</si>
  <si>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</si>
  <si>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</si>
  <si>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</si>
  <si>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</si>
  <si>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</si>
  <si>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</si>
  <si>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</si>
  <si>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</si>
  <si>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</si>
  <si>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</si>
  <si>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</si>
  <si>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</si>
  <si>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</si>
  <si>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</si>
  <si>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</si>
  <si>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</si>
  <si>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</si>
  <si>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</si>
  <si>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</si>
  <si>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</si>
  <si>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</si>
  <si>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</si>
  <si>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</si>
  <si>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</si>
  <si>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</si>
  <si>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</si>
  <si>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</si>
  <si>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</si>
  <si>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</si>
  <si>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</si>
  <si>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</si>
  <si>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</si>
  <si>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</si>
  <si>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</si>
  <si>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</si>
  <si>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</si>
  <si>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</si>
  <si>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</si>
  <si>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</si>
  <si>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</si>
  <si>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</si>
  <si>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</si>
  <si>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</si>
  <si>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</si>
  <si>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</si>
  <si>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</si>
  <si>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</si>
  <si>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</si>
  <si>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</si>
  <si>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</si>
  <si>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</si>
  <si>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</si>
  <si>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</si>
  <si>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</si>
  <si>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</si>
  <si>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</si>
  <si>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</si>
  <si>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</si>
  <si>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</si>
  <si>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</si>
  <si>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</si>
  <si>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</si>
  <si>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</si>
  <si>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</si>
  <si>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</si>
  <si>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</si>
  <si>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</si>
  <si>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</si>
  <si>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</si>
  <si>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</si>
  <si>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</si>
  <si>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</si>
  <si>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</si>
  <si>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</si>
  <si>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</si>
  <si>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</si>
  <si>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</si>
  <si>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</si>
  <si>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</si>
  <si>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</si>
  <si>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</si>
  <si>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</si>
  <si>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</si>
  <si>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</si>
  <si>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</si>
  <si>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</si>
  <si>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</si>
  <si>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</si>
  <si>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</si>
  <si>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</si>
  <si>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</si>
  <si>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</si>
  <si>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</si>
  <si>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</si>
  <si>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</si>
  <si>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</si>
  <si>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</si>
  <si>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</si>
  <si>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</si>
  <si>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</si>
  <si>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</si>
  <si>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</si>
  <si>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</si>
  <si>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</si>
  <si>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</si>
  <si>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</si>
  <si>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</si>
  <si>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</si>
  <si>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</si>
  <si>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</si>
  <si>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</si>
  <si>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</si>
  <si>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</si>
  <si>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</si>
  <si>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</si>
  <si>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</si>
  <si>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</si>
  <si>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</si>
  <si>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</si>
  <si>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</si>
  <si>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</si>
  <si>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</si>
  <si>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</si>
  <si>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</si>
  <si>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</si>
  <si>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</si>
  <si>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</si>
  <si>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</si>
  <si>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</si>
  <si>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</si>
  <si>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</si>
  <si>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</si>
  <si>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</si>
  <si>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</si>
  <si>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</si>
  <si>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</si>
  <si>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</si>
  <si>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</si>
  <si>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</si>
  <si>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</si>
  <si>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</si>
  <si>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</si>
  <si>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</si>
  <si>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</si>
  <si>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</si>
  <si>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</si>
  <si>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</si>
  <si>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</si>
  <si>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</si>
  <si>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</si>
  <si>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</si>
  <si>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</si>
  <si>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</si>
  <si>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</si>
  <si>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</si>
  <si>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</si>
  <si>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</si>
  <si>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</si>
  <si>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</si>
  <si>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</si>
  <si>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</si>
  <si>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</si>
  <si>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</si>
  <si>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</si>
  <si>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</si>
  <si>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</si>
  <si>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</si>
  <si>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</si>
  <si>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</si>
  <si>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</si>
  <si>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</si>
  <si>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</si>
  <si>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</si>
  <si>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</si>
  <si>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</si>
  <si>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</si>
  <si>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</si>
  <si>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</si>
  <si>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</si>
  <si>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</si>
  <si>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</si>
  <si>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</si>
  <si>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</si>
  <si>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</si>
  <si>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</si>
  <si>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</si>
  <si>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</si>
  <si>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</si>
  <si>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</si>
  <si>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</si>
  <si>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</si>
  <si>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</si>
  <si>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</si>
  <si>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</si>
  <si>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</si>
  <si>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</si>
  <si>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</si>
  <si>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</si>
  <si>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</si>
  <si>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</si>
  <si>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</si>
  <si>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</si>
  <si>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</si>
  <si>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</si>
  <si>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</si>
  <si>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</si>
  <si>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</si>
  <si>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</si>
  <si>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</si>
  <si>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</si>
  <si>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</si>
  <si>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</si>
  <si>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</si>
  <si>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</si>
  <si>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</si>
  <si>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</si>
  <si>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</si>
  <si>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</si>
  <si>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</si>
  <si>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</si>
  <si>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</si>
  <si>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</si>
  <si>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</si>
  <si>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</si>
  <si>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</si>
  <si>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</si>
  <si>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</si>
  <si>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</si>
  <si>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</si>
  <si>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</si>
  <si>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</si>
  <si>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</si>
  <si>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</si>
  <si>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</si>
  <si>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</si>
  <si>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</si>
  <si>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</si>
  <si>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</si>
  <si>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</si>
  <si>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</si>
  <si>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</si>
  <si>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</si>
  <si>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</si>
  <si>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</si>
  <si>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</si>
  <si>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</si>
  <si>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</si>
  <si>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</si>
  <si>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</si>
  <si>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</si>
  <si>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</si>
  <si>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</si>
  <si>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</si>
  <si>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</si>
  <si>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</si>
  <si>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</si>
  <si>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</si>
  <si>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</si>
  <si>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</si>
  <si>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</si>
  <si>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</si>
  <si>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</si>
  <si>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</si>
  <si>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</si>
  <si>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</si>
  <si>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</si>
  <si>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</si>
  <si>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</si>
  <si>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</si>
  <si>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</si>
  <si>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</si>
  <si>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</si>
  <si>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</si>
  <si>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</si>
  <si>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</si>
  <si>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</si>
  <si>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</si>
  <si>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</si>
  <si>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</si>
  <si>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</si>
  <si>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</si>
  <si>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</si>
  <si>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</si>
  <si>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</si>
  <si>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</si>
  <si>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</si>
  <si>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</si>
  <si>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</si>
  <si>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</si>
  <si>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</si>
  <si>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</si>
  <si>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</si>
  <si>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</si>
  <si>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</si>
  <si>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</si>
  <si>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</si>
  <si>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</si>
  <si>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</si>
  <si>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</si>
  <si>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</si>
  <si>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</si>
  <si>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</si>
  <si>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</si>
  <si>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</si>
  <si>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</si>
  <si>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</si>
  <si>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</si>
  <si>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</si>
  <si>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</si>
  <si>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</si>
  <si>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</si>
  <si>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</si>
  <si>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</si>
  <si>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</si>
  <si>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</si>
  <si>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</si>
  <si>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</si>
  <si>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</si>
  <si>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</si>
  <si>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</si>
  <si>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</si>
  <si>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</si>
  <si>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</si>
  <si>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</si>
  <si>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</si>
  <si>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</si>
  <si>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</si>
  <si>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</si>
  <si>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</si>
  <si>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</si>
  <si>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</si>
  <si>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</si>
  <si>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</si>
  <si>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</si>
  <si>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</si>
  <si>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</si>
  <si>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</si>
  <si>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</si>
  <si>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</si>
  <si>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</si>
  <si>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</si>
  <si>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</si>
  <si>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</si>
  <si>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</si>
  <si>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</si>
  <si>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</si>
  <si>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</si>
  <si>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</si>
  <si>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</si>
  <si>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</si>
  <si>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</si>
  <si>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</si>
  <si>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</si>
  <si>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</si>
  <si>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</si>
  <si>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</si>
  <si>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</si>
  <si>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</si>
  <si>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</si>
  <si>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</si>
  <si>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</si>
  <si>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</si>
  <si>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</si>
  <si>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</si>
  <si>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</si>
  <si>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</si>
  <si>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</si>
  <si>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</si>
  <si>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</si>
  <si>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</si>
  <si>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</si>
  <si>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</si>
  <si>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</si>
  <si>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</si>
  <si>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</si>
  <si>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</si>
  <si>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</si>
  <si>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</si>
  <si>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</si>
  <si>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</si>
  <si>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</si>
  <si>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</si>
  <si>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</si>
  <si>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</si>
  <si>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</si>
  <si>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</si>
  <si>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</si>
  <si>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</si>
  <si>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</si>
  <si>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</si>
  <si>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</si>
  <si>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</si>
  <si>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</si>
  <si>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</si>
  <si>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</si>
  <si>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</si>
  <si>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</si>
  <si>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</si>
  <si>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</si>
  <si>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</si>
  <si>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</si>
  <si>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</si>
  <si>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</si>
  <si>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</si>
  <si>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</si>
  <si>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</si>
  <si>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</si>
  <si>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</si>
  <si>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</si>
  <si>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</si>
  <si>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</si>
  <si>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</si>
  <si>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</si>
  <si>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</si>
  <si>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</si>
  <si>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</si>
  <si>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</si>
  <si>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</si>
  <si>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</si>
  <si>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</si>
  <si>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</si>
  <si>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</si>
  <si>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</si>
  <si>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</si>
  <si>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</si>
  <si>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</si>
  <si>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</si>
  <si>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</si>
  <si>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</si>
  <si>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</si>
  <si>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</si>
  <si>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</si>
  <si>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</si>
  <si>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</si>
  <si>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</si>
  <si>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</si>
  <si>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</si>
  <si>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</si>
  <si>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</si>
  <si>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</si>
  <si>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</si>
  <si>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</si>
  <si>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</si>
  <si>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</si>
  <si>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</si>
  <si>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</si>
  <si>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</si>
  <si>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</si>
  <si>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</si>
  <si>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</si>
  <si>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</si>
  <si>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</si>
  <si>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</si>
  <si>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</si>
  <si>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</si>
  <si>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</si>
  <si>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</si>
  <si>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</si>
  <si>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</si>
  <si>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</si>
  <si>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</si>
  <si>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</si>
  <si>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</si>
  <si>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</si>
  <si>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</si>
  <si>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</si>
  <si>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</si>
  <si>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</si>
  <si>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</si>
  <si>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</si>
  <si>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</si>
  <si>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</si>
  <si>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</si>
  <si>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</si>
  <si>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</si>
  <si>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</si>
  <si>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</si>
  <si>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</si>
  <si>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</si>
  <si>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</si>
  <si>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</si>
  <si>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</si>
  <si>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</si>
  <si>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</si>
  <si>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</si>
  <si>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</si>
  <si>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</si>
  <si>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</si>
  <si>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</si>
  <si>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</si>
  <si>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</si>
  <si>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</si>
  <si>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</si>
  <si>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</si>
  <si>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</si>
  <si>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</si>
  <si>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</si>
  <si>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</si>
  <si>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</si>
  <si>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</si>
  <si>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</si>
  <si>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</si>
  <si>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</si>
  <si>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</si>
  <si>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</si>
  <si>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</si>
  <si>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</si>
  <si>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</si>
  <si>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</si>
  <si>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</si>
  <si>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</si>
  <si>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</si>
  <si>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</si>
  <si>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</si>
  <si>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</si>
  <si>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</si>
  <si>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</si>
  <si>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</si>
  <si>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</si>
  <si>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</si>
  <si>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</si>
  <si>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</si>
  <si>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</si>
  <si>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</si>
  <si>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</si>
  <si>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</si>
  <si>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</si>
  <si>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</si>
  <si>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</si>
  <si>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</si>
  <si>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</si>
  <si>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</si>
  <si>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</si>
  <si>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</si>
  <si>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</si>
  <si>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</si>
  <si>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</si>
  <si>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</si>
  <si>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</si>
  <si>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</si>
  <si>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</si>
  <si>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</si>
  <si>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</si>
  <si>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</si>
  <si>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</si>
  <si>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</si>
  <si>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</si>
  <si>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</si>
  <si>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</si>
  <si>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</si>
  <si>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</si>
  <si>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</si>
  <si>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</si>
  <si>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</si>
  <si>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</si>
  <si>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</si>
  <si>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</si>
  <si>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</si>
  <si>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</si>
  <si>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</si>
  <si>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</si>
  <si>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</si>
  <si>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</si>
  <si>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</si>
  <si>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</si>
  <si>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</si>
  <si>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</si>
  <si>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</si>
  <si>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</si>
  <si>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</si>
  <si>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</si>
  <si>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</si>
  <si>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</si>
  <si>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</si>
  <si>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</si>
  <si>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</si>
  <si>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</si>
  <si>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</si>
  <si>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</si>
  <si>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</si>
  <si>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</si>
  <si>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</si>
  <si>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</si>
  <si>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</si>
  <si>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</si>
  <si>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</si>
  <si>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</si>
  <si>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</si>
  <si>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</si>
  <si>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</si>
  <si>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</si>
  <si>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</si>
  <si>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</si>
  <si>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</si>
  <si>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</si>
  <si>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</si>
  <si>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</si>
  <si>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</si>
  <si>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</si>
  <si>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</si>
  <si>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</si>
  <si>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</si>
  <si>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</si>
  <si>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</si>
  <si>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</si>
  <si>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</si>
  <si>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</si>
  <si>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</si>
  <si>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</si>
  <si>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</si>
  <si>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</si>
  <si>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</si>
  <si>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</si>
  <si>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</si>
  <si>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</si>
  <si>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</si>
  <si>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</si>
  <si>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</si>
  <si>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</si>
  <si>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</si>
  <si>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</si>
  <si>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</si>
  <si>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</si>
  <si>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</si>
  <si>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</si>
  <si>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</si>
  <si>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</si>
  <si>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</si>
  <si>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</si>
  <si>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</si>
  <si>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</si>
  <si>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</si>
  <si>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</si>
  <si>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</si>
  <si>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</si>
  <si>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</si>
  <si>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</si>
  <si>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</si>
  <si>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</si>
  <si>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</si>
  <si>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</si>
  <si>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</si>
  <si>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</si>
  <si>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</si>
  <si>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</si>
  <si>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</si>
  <si>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</si>
  <si>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</si>
  <si>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</si>
  <si>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</si>
  <si>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</si>
  <si>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</si>
  <si>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</si>
  <si>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</si>
  <si>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</si>
  <si>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</si>
  <si>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</si>
  <si>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</si>
  <si>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</si>
  <si>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</si>
  <si>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</si>
  <si>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</si>
  <si>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</si>
  <si>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</si>
  <si>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</si>
  <si>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</si>
  <si>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</si>
  <si>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</si>
  <si>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</si>
  <si>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</si>
  <si>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</si>
  <si>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</si>
  <si>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</si>
  <si>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</si>
  <si>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</si>
  <si>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</si>
  <si>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</si>
  <si>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</si>
  <si>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</si>
  <si>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</si>
  <si>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</si>
  <si>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</si>
  <si>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</si>
  <si>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</si>
  <si>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</si>
  <si>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</si>
  <si>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</si>
  <si>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</si>
  <si>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</si>
  <si>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</si>
  <si>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</si>
  <si>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</si>
  <si>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</si>
  <si>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</si>
  <si>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</si>
  <si>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</si>
  <si>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</si>
  <si>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</si>
  <si>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</si>
  <si>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</si>
  <si>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</si>
  <si>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</si>
  <si>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</si>
  <si>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</si>
  <si>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</si>
  <si>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</si>
  <si>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</si>
  <si>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</si>
  <si>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</si>
  <si>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</si>
  <si>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</si>
  <si>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</si>
  <si>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</si>
  <si>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</si>
  <si>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</si>
  <si>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</si>
  <si>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</si>
  <si>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</si>
  <si>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</si>
  <si>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</si>
  <si>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</si>
  <si>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</si>
  <si>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</si>
  <si>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</si>
  <si>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</si>
  <si>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</si>
  <si>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</si>
  <si>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</si>
  <si>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</si>
  <si>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</si>
  <si>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</si>
  <si>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</si>
  <si>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</si>
  <si>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</si>
  <si>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</si>
  <si>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</si>
  <si>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</si>
  <si>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</si>
  <si>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</si>
  <si>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</si>
  <si>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</si>
  <si>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</si>
  <si>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</si>
  <si>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</si>
  <si>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</si>
  <si>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</si>
  <si>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</si>
  <si>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</si>
  <si>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</si>
  <si>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</si>
  <si>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</si>
  <si>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</si>
  <si>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</si>
  <si>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</si>
  <si>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</si>
  <si>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</si>
  <si>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</si>
  <si>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</si>
  <si>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</si>
  <si>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</si>
  <si>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</si>
  <si>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</si>
  <si>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</si>
  <si>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</si>
  <si>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</si>
  <si>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</si>
  <si>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</si>
  <si>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</si>
  <si>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</si>
  <si>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</si>
  <si>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</si>
  <si>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</si>
  <si>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</si>
  <si>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</si>
  <si>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</si>
  <si>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</si>
  <si>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</si>
  <si>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</si>
  <si>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</si>
  <si>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</si>
  <si>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</si>
  <si>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</si>
  <si>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</si>
  <si>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</si>
  <si>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</si>
  <si>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</si>
  <si>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</si>
  <si>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</si>
  <si>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</si>
  <si>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</si>
  <si>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</si>
  <si>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</si>
  <si>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</si>
  <si>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</si>
  <si>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</si>
  <si>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</si>
  <si>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</si>
  <si>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</si>
  <si>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</si>
  <si>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</si>
  <si>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</si>
  <si>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</si>
  <si>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</si>
  <si>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</si>
  <si>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</si>
  <si>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</si>
  <si>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</si>
  <si>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</si>
  <si>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</si>
  <si>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</si>
  <si>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</si>
  <si>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</si>
  <si>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</si>
  <si>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</si>
  <si>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</si>
  <si>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</si>
  <si>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</si>
  <si>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</si>
  <si>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</si>
  <si>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</si>
  <si>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</si>
  <si>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</si>
  <si>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</si>
  <si>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</si>
  <si>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</si>
  <si>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</si>
  <si>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</si>
  <si>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</si>
  <si>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</si>
  <si>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</si>
  <si>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</si>
  <si>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</si>
  <si>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</si>
  <si>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</si>
  <si>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</si>
  <si>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</si>
  <si>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</si>
  <si>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</si>
  <si>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</si>
  <si>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</si>
  <si>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</si>
  <si>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</si>
  <si>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</si>
  <si>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</si>
  <si>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</si>
  <si>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</si>
  <si>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</si>
  <si>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</si>
  <si>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</si>
  <si>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</si>
  <si>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</si>
  <si>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Unknown grass 1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</si>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</sst>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0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2"/>
  <sheetViews>
    <sheetView tabSelected="1" workbookViewId="0">
      <selection activeCell="C4" sqref="C4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5492</v>
      </c>
      <c r="C2" s="42" t="str">
        <f>CONCATENATE(B2, 2025)</f>
        <v>South Creek Releve 32025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44384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18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8" si="1">VALUE(L10)</f>
        <v>15</v>
      </c>
      <c r="N10" s="79">
        <f t="shared" ref="N10:N34" si="2">L10/$L$142</f>
        <v>0.11363636363636363</v>
      </c>
      <c r="O10" s="79">
        <f t="shared" ref="O10:O18" si="3">D10*N10</f>
        <v>0.11363636363636363</v>
      </c>
    </row>
    <row r="11" spans="1:15" ht="13.5" thickBot="1" x14ac:dyDescent="0.25">
      <c r="A11" s="123" t="s">
        <v>1443</v>
      </c>
      <c r="B11" s="40" t="str">
        <f>IF(LEN(VLOOKUP(A11,'Species List'!$A:$G,2,FALSE))=0,"",VLOOKUP(A11,'Species List'!$A:$G,2,FALSE))</f>
        <v>gray dogwood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[FACW-]</v>
      </c>
      <c r="H11" s="40">
        <f>VLOOKUP(A11,'Species List'!$A:$G,7,FALSE)</f>
        <v>0</v>
      </c>
      <c r="J11" s="123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79">
        <f t="shared" si="2"/>
        <v>3.787878787878788E-3</v>
      </c>
      <c r="O11" s="91">
        <f t="shared" si="3"/>
        <v>7.575757575757576E-3</v>
      </c>
    </row>
    <row r="12" spans="1:15" ht="13.5" thickBot="1" x14ac:dyDescent="0.25">
      <c r="A12" s="123" t="s">
        <v>4860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C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2.2727272727272728E-2</v>
      </c>
      <c r="O12" s="91">
        <f t="shared" si="3"/>
        <v>4.5454545454545456E-2</v>
      </c>
    </row>
    <row r="13" spans="1:15" ht="13.5" thickBot="1" x14ac:dyDescent="0.25">
      <c r="A13" s="123" t="s">
        <v>3710</v>
      </c>
      <c r="B13" s="40" t="str">
        <f>IF(LEN(VLOOKUP(A13,'Species List'!$A:$G,2,FALSE))=0,"",VLOOKUP(A13,'Species List'!$A:$G,2,FALSE))</f>
        <v>common buckthorn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>
        <v>4</v>
      </c>
      <c r="K13" s="43" t="str">
        <f>VLOOKUP(J13,'Species List'!$H$1:$J$9,2,FALSE)</f>
        <v>&gt;50-75%</v>
      </c>
      <c r="L13" s="43">
        <f>VLOOKUP(K13,'Species List'!$I$1:$N$8,2,FALSE)</f>
        <v>62.5</v>
      </c>
      <c r="M13" s="93">
        <f t="shared" si="1"/>
        <v>62.5</v>
      </c>
      <c r="N13" s="79">
        <f t="shared" si="2"/>
        <v>0.47348484848484851</v>
      </c>
      <c r="O13" s="91">
        <f t="shared" si="3"/>
        <v>0</v>
      </c>
    </row>
    <row r="14" spans="1:15" ht="13.5" thickBot="1" x14ac:dyDescent="0.25">
      <c r="A14" s="123" t="s">
        <v>3730</v>
      </c>
      <c r="B14" s="40" t="str">
        <f>IF(LEN(VLOOKUP(A14,'Species List'!$A:$G,2,FALSE))=0,"",VLOOKUP(A14,'Species List'!$A:$G,2,FALSE))</f>
        <v>wild black currant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3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1"/>
        <v>15</v>
      </c>
      <c r="N14" s="79">
        <f t="shared" si="2"/>
        <v>0.11363636363636363</v>
      </c>
      <c r="O14" s="91">
        <f t="shared" si="3"/>
        <v>0.45454545454545453</v>
      </c>
    </row>
    <row r="15" spans="1:15" ht="13.5" thickBot="1" x14ac:dyDescent="0.25">
      <c r="A15" s="123" t="s">
        <v>3808</v>
      </c>
      <c r="B15" s="40" t="str">
        <f>IF(LEN(VLOOKUP(A15,'Species List'!$A:$G,2,FALSE))=0,"",VLOOKUP(A15,'Species List'!$A:$G,2,FALSE))</f>
        <v>black raspberry</v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2.2727272727272728E-2</v>
      </c>
      <c r="O15" s="91">
        <f t="shared" si="3"/>
        <v>4.5454545454545456E-2</v>
      </c>
    </row>
    <row r="16" spans="1:15" ht="13.5" thickBot="1" x14ac:dyDescent="0.25">
      <c r="A16" s="123" t="s">
        <v>4855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1"/>
        <v>15</v>
      </c>
      <c r="N16" s="79">
        <f t="shared" si="2"/>
        <v>0.11363636363636363</v>
      </c>
      <c r="O16" s="91">
        <f t="shared" si="3"/>
        <v>0.34090909090909088</v>
      </c>
    </row>
    <row r="17" spans="1:15" ht="13.5" thickBot="1" x14ac:dyDescent="0.25">
      <c r="A17" s="123" t="s">
        <v>4541</v>
      </c>
      <c r="B17" s="40" t="str">
        <f>IF(LEN(VLOOKUP(A17,'Species List'!$A:$G,2,FALSE))=0,"",VLOOKUP(A17,'Species List'!$A:$G,2,FALSE))</f>
        <v>American elm</v>
      </c>
      <c r="C17" s="40">
        <f>IF(LEN(VLOOKUP(A17,'Species List'!$A:$G,3,FALSE))=0,"",VLOOKUP(A17,'Species List'!$A:$G,3,FALSE))</f>
        <v>3</v>
      </c>
      <c r="D17" s="92">
        <f t="shared" si="0"/>
        <v>3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FACW-</v>
      </c>
      <c r="H17" s="40">
        <f>VLOOKUP(A17,'Species List'!$A:$G,7,FALSE)</f>
        <v>0</v>
      </c>
      <c r="J17" s="123">
        <v>2</v>
      </c>
      <c r="K17" s="43" t="str">
        <f>VLOOKUP(J17,'Species List'!$H$1:$J$9,2,FALSE)</f>
        <v>&gt;5-25%</v>
      </c>
      <c r="L17" s="43">
        <f>VLOOKUP(K17,'Species List'!$I$1:$N$8,2,FALSE)</f>
        <v>15</v>
      </c>
      <c r="M17" s="93">
        <f t="shared" si="1"/>
        <v>15</v>
      </c>
      <c r="N17" s="79">
        <f t="shared" si="2"/>
        <v>0.11363636363636363</v>
      </c>
      <c r="O17" s="91">
        <f t="shared" si="3"/>
        <v>0.34090909090909088</v>
      </c>
    </row>
    <row r="18" spans="1:15" ht="13.5" thickBot="1" x14ac:dyDescent="0.25">
      <c r="A18" s="123" t="s">
        <v>4708</v>
      </c>
      <c r="B18" s="40" t="str">
        <f>IF(LEN(VLOOKUP(A18,'Species List'!$A:$G,2,FALSE))=0,"",VLOOKUP(A18,'Species List'!$A:$G,2,FALSE))</f>
        <v>wild grape</v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C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FACW-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2.2727272727272728E-2</v>
      </c>
      <c r="O18" s="91">
        <f t="shared" si="3"/>
        <v>4.5454545454545456E-2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25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ref="M19:M27" si="5">VALUE(L19)</f>
        <v>#N/A</v>
      </c>
      <c r="N19" s="79" t="e">
        <f t="shared" si="2"/>
        <v>#N/A</v>
      </c>
      <c r="O19" s="91" t="e">
        <f t="shared" ref="O19:O27" si="6">D19*N19</f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79" t="e">
        <f t="shared" si="2"/>
        <v>#N/A</v>
      </c>
      <c r="O20" s="91" t="e">
        <f t="shared" si="6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79" t="e">
        <f t="shared" si="2"/>
        <v>#N/A</v>
      </c>
      <c r="O21" s="91" t="e">
        <f t="shared" si="6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2"/>
        <v>#N/A</v>
      </c>
      <c r="O22" s="91" t="e">
        <f t="shared" si="6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2"/>
        <v>#N/A</v>
      </c>
      <c r="O23" s="91" t="e">
        <f t="shared" si="6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>VALUE(C26)</f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ref="D28:D67" si="7">VALUE(C28)</f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ref="M28:M67" si="8">VALUE(L28)</f>
        <v>#N/A</v>
      </c>
      <c r="N28" s="79" t="e">
        <f t="shared" si="2"/>
        <v>#N/A</v>
      </c>
      <c r="O28" s="91" t="e">
        <f t="shared" ref="O28:O67" si="9">D28*N28</f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7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8"/>
        <v>#N/A</v>
      </c>
      <c r="N29" s="79" t="e">
        <f t="shared" si="2"/>
        <v>#N/A</v>
      </c>
      <c r="O29" s="91" t="e">
        <f t="shared" si="9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7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8"/>
        <v>#N/A</v>
      </c>
      <c r="N30" s="79" t="e">
        <f t="shared" si="2"/>
        <v>#N/A</v>
      </c>
      <c r="O30" s="91" t="e">
        <f t="shared" si="9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7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8"/>
        <v>#N/A</v>
      </c>
      <c r="N31" s="79" t="e">
        <f t="shared" si="2"/>
        <v>#N/A</v>
      </c>
      <c r="O31" s="91" t="e">
        <f t="shared" si="9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7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8"/>
        <v>#N/A</v>
      </c>
      <c r="N32" s="79" t="e">
        <f t="shared" si="2"/>
        <v>#N/A</v>
      </c>
      <c r="O32" s="91" t="e">
        <f t="shared" si="9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7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8"/>
        <v>#N/A</v>
      </c>
      <c r="N33" s="79" t="e">
        <f t="shared" si="2"/>
        <v>#N/A</v>
      </c>
      <c r="O33" s="91" t="e">
        <f t="shared" si="9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7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8"/>
        <v>#N/A</v>
      </c>
      <c r="N34" s="79" t="e">
        <f t="shared" si="2"/>
        <v>#N/A</v>
      </c>
      <c r="O34" s="91" t="e">
        <f t="shared" si="9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7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8"/>
        <v>#N/A</v>
      </c>
      <c r="N35" s="79" t="e">
        <f t="shared" ref="N35:N66" si="10">L35/$L$142</f>
        <v>#N/A</v>
      </c>
      <c r="O35" s="91" t="e">
        <f t="shared" si="9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7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8"/>
        <v>#N/A</v>
      </c>
      <c r="N36" s="79" t="e">
        <f t="shared" si="10"/>
        <v>#N/A</v>
      </c>
      <c r="O36" s="91" t="e">
        <f t="shared" si="9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7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8"/>
        <v>#N/A</v>
      </c>
      <c r="N37" s="79" t="e">
        <f t="shared" si="10"/>
        <v>#N/A</v>
      </c>
      <c r="O37" s="91" t="e">
        <f t="shared" si="9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7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8"/>
        <v>#N/A</v>
      </c>
      <c r="N38" s="79" t="e">
        <f t="shared" si="10"/>
        <v>#N/A</v>
      </c>
      <c r="O38" s="91" t="e">
        <f t="shared" si="9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7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8"/>
        <v>#N/A</v>
      </c>
      <c r="N39" s="79" t="e">
        <f t="shared" si="10"/>
        <v>#N/A</v>
      </c>
      <c r="O39" s="91" t="e">
        <f t="shared" si="9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7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8"/>
        <v>#N/A</v>
      </c>
      <c r="N40" s="79" t="e">
        <f t="shared" si="10"/>
        <v>#N/A</v>
      </c>
      <c r="O40" s="91" t="e">
        <f t="shared" si="9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7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8"/>
        <v>#N/A</v>
      </c>
      <c r="N41" s="79" t="e">
        <f t="shared" si="10"/>
        <v>#N/A</v>
      </c>
      <c r="O41" s="91" t="e">
        <f t="shared" si="9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7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8"/>
        <v>#N/A</v>
      </c>
      <c r="N42" s="79" t="e">
        <f t="shared" si="10"/>
        <v>#N/A</v>
      </c>
      <c r="O42" s="91" t="e">
        <f t="shared" si="9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7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8"/>
        <v>#N/A</v>
      </c>
      <c r="N43" s="79" t="e">
        <f t="shared" si="10"/>
        <v>#N/A</v>
      </c>
      <c r="O43" s="91" t="e">
        <f t="shared" si="9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7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8"/>
        <v>#N/A</v>
      </c>
      <c r="N44" s="79" t="e">
        <f t="shared" si="10"/>
        <v>#N/A</v>
      </c>
      <c r="O44" s="91" t="e">
        <f t="shared" si="9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7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8"/>
        <v>#N/A</v>
      </c>
      <c r="N45" s="79" t="e">
        <f t="shared" si="10"/>
        <v>#N/A</v>
      </c>
      <c r="O45" s="91" t="e">
        <f t="shared" si="9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7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8"/>
        <v>#N/A</v>
      </c>
      <c r="N46" s="79" t="e">
        <f t="shared" si="10"/>
        <v>#N/A</v>
      </c>
      <c r="O46" s="91" t="e">
        <f t="shared" si="9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7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8"/>
        <v>#N/A</v>
      </c>
      <c r="N47" s="79" t="e">
        <f t="shared" si="10"/>
        <v>#N/A</v>
      </c>
      <c r="O47" s="91" t="e">
        <f t="shared" si="9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7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8"/>
        <v>#N/A</v>
      </c>
      <c r="N48" s="79" t="e">
        <f t="shared" si="10"/>
        <v>#N/A</v>
      </c>
      <c r="O48" s="91" t="e">
        <f t="shared" si="9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7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8"/>
        <v>#N/A</v>
      </c>
      <c r="N49" s="79" t="e">
        <f t="shared" si="10"/>
        <v>#N/A</v>
      </c>
      <c r="O49" s="91" t="e">
        <f t="shared" si="9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7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8"/>
        <v>#N/A</v>
      </c>
      <c r="N50" s="79" t="e">
        <f t="shared" si="10"/>
        <v>#N/A</v>
      </c>
      <c r="O50" s="91" t="e">
        <f t="shared" si="9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7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8"/>
        <v>#N/A</v>
      </c>
      <c r="N51" s="79" t="e">
        <f t="shared" si="10"/>
        <v>#N/A</v>
      </c>
      <c r="O51" s="91" t="e">
        <f t="shared" si="9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7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8"/>
        <v>#N/A</v>
      </c>
      <c r="N52" s="79" t="e">
        <f t="shared" si="10"/>
        <v>#N/A</v>
      </c>
      <c r="O52" s="91" t="e">
        <f t="shared" si="9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7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8"/>
        <v>#N/A</v>
      </c>
      <c r="N53" s="79" t="e">
        <f t="shared" si="10"/>
        <v>#N/A</v>
      </c>
      <c r="O53" s="91" t="e">
        <f t="shared" si="9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7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8"/>
        <v>#N/A</v>
      </c>
      <c r="N54" s="79" t="e">
        <f t="shared" si="10"/>
        <v>#N/A</v>
      </c>
      <c r="O54" s="91" t="e">
        <f t="shared" si="9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7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8"/>
        <v>#N/A</v>
      </c>
      <c r="N55" s="79" t="e">
        <f t="shared" si="10"/>
        <v>#N/A</v>
      </c>
      <c r="O55" s="91" t="e">
        <f t="shared" si="9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7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8"/>
        <v>#N/A</v>
      </c>
      <c r="N56" s="79" t="e">
        <f t="shared" si="10"/>
        <v>#N/A</v>
      </c>
      <c r="O56" s="91" t="e">
        <f t="shared" si="9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7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8"/>
        <v>#N/A</v>
      </c>
      <c r="N57" s="79" t="e">
        <f t="shared" si="10"/>
        <v>#N/A</v>
      </c>
      <c r="O57" s="91" t="e">
        <f t="shared" si="9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7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8"/>
        <v>#N/A</v>
      </c>
      <c r="N58" s="79" t="e">
        <f t="shared" si="10"/>
        <v>#N/A</v>
      </c>
      <c r="O58" s="91" t="e">
        <f t="shared" si="9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7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8"/>
        <v>#N/A</v>
      </c>
      <c r="N59" s="79" t="e">
        <f t="shared" si="10"/>
        <v>#N/A</v>
      </c>
      <c r="O59" s="91" t="e">
        <f t="shared" si="9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7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8"/>
        <v>#N/A</v>
      </c>
      <c r="N60" s="79" t="e">
        <f t="shared" si="10"/>
        <v>#N/A</v>
      </c>
      <c r="O60" s="91" t="e">
        <f t="shared" si="9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7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8"/>
        <v>#N/A</v>
      </c>
      <c r="N61" s="79" t="e">
        <f t="shared" si="10"/>
        <v>#N/A</v>
      </c>
      <c r="O61" s="91" t="e">
        <f t="shared" si="9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7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8"/>
        <v>#N/A</v>
      </c>
      <c r="N62" s="79" t="e">
        <f t="shared" si="10"/>
        <v>#N/A</v>
      </c>
      <c r="O62" s="91" t="e">
        <f t="shared" si="9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7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8"/>
        <v>#N/A</v>
      </c>
      <c r="N63" s="79" t="e">
        <f t="shared" si="10"/>
        <v>#N/A</v>
      </c>
      <c r="O63" s="91" t="e">
        <f t="shared" si="9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7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8"/>
        <v>#N/A</v>
      </c>
      <c r="N64" s="79" t="e">
        <f t="shared" si="10"/>
        <v>#N/A</v>
      </c>
      <c r="O64" s="91" t="e">
        <f t="shared" si="9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7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8"/>
        <v>#N/A</v>
      </c>
      <c r="N65" s="79" t="e">
        <f t="shared" si="10"/>
        <v>#N/A</v>
      </c>
      <c r="O65" s="91" t="e">
        <f t="shared" si="9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7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8"/>
        <v>#N/A</v>
      </c>
      <c r="N66" s="79" t="e">
        <f t="shared" si="10"/>
        <v>#N/A</v>
      </c>
      <c r="O66" s="91" t="e">
        <f t="shared" si="9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7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8"/>
        <v>#N/A</v>
      </c>
      <c r="N67" s="79" t="e">
        <f t="shared" ref="N67:N130" si="11">L67/$L$142</f>
        <v>#N/A</v>
      </c>
      <c r="O67" s="91" t="e">
        <f t="shared" si="9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ref="D68:D131" si="12">VALUE(C68)</f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ref="M68:M131" si="13">VALUE(L68)</f>
        <v>#N/A</v>
      </c>
      <c r="N68" s="79" t="e">
        <f t="shared" si="11"/>
        <v>#N/A</v>
      </c>
      <c r="O68" s="91" t="e">
        <f t="shared" ref="O68:O131" si="14">D68*N68</f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12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3"/>
        <v>#N/A</v>
      </c>
      <c r="N69" s="79" t="e">
        <f t="shared" si="11"/>
        <v>#N/A</v>
      </c>
      <c r="O69" s="91" t="e">
        <f t="shared" si="14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12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3"/>
        <v>#N/A</v>
      </c>
      <c r="N70" s="79" t="e">
        <f t="shared" si="11"/>
        <v>#N/A</v>
      </c>
      <c r="O70" s="91" t="e">
        <f t="shared" si="14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12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3"/>
        <v>#N/A</v>
      </c>
      <c r="N71" s="79" t="e">
        <f t="shared" si="11"/>
        <v>#N/A</v>
      </c>
      <c r="O71" s="91" t="e">
        <f t="shared" si="14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12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3"/>
        <v>#N/A</v>
      </c>
      <c r="N72" s="79" t="e">
        <f t="shared" si="11"/>
        <v>#N/A</v>
      </c>
      <c r="O72" s="91" t="e">
        <f t="shared" si="14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12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3"/>
        <v>#N/A</v>
      </c>
      <c r="N73" s="79" t="e">
        <f t="shared" si="11"/>
        <v>#N/A</v>
      </c>
      <c r="O73" s="91" t="e">
        <f t="shared" si="14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2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3"/>
        <v>#N/A</v>
      </c>
      <c r="N74" s="79" t="e">
        <f t="shared" si="11"/>
        <v>#N/A</v>
      </c>
      <c r="O74" s="91" t="e">
        <f t="shared" si="14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2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3"/>
        <v>#N/A</v>
      </c>
      <c r="N75" s="79" t="e">
        <f t="shared" si="11"/>
        <v>#N/A</v>
      </c>
      <c r="O75" s="91" t="e">
        <f t="shared" si="14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2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3"/>
        <v>#N/A</v>
      </c>
      <c r="N76" s="79" t="e">
        <f t="shared" si="11"/>
        <v>#N/A</v>
      </c>
      <c r="O76" s="91" t="e">
        <f t="shared" si="14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2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3"/>
        <v>#N/A</v>
      </c>
      <c r="N77" s="79" t="e">
        <f t="shared" si="11"/>
        <v>#N/A</v>
      </c>
      <c r="O77" s="91" t="e">
        <f t="shared" si="14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2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3"/>
        <v>#N/A</v>
      </c>
      <c r="N78" s="79" t="e">
        <f t="shared" si="11"/>
        <v>#N/A</v>
      </c>
      <c r="O78" s="91" t="e">
        <f t="shared" si="14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2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3"/>
        <v>#N/A</v>
      </c>
      <c r="N79" s="79" t="e">
        <f t="shared" si="11"/>
        <v>#N/A</v>
      </c>
      <c r="O79" s="91" t="e">
        <f t="shared" si="14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2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3"/>
        <v>#N/A</v>
      </c>
      <c r="N80" s="79" t="e">
        <f t="shared" si="11"/>
        <v>#N/A</v>
      </c>
      <c r="O80" s="91" t="e">
        <f t="shared" si="14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2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3"/>
        <v>#N/A</v>
      </c>
      <c r="N81" s="79" t="e">
        <f t="shared" si="11"/>
        <v>#N/A</v>
      </c>
      <c r="O81" s="91" t="e">
        <f t="shared" si="14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2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3"/>
        <v>#N/A</v>
      </c>
      <c r="N82" s="79" t="e">
        <f t="shared" si="11"/>
        <v>#N/A</v>
      </c>
      <c r="O82" s="91" t="e">
        <f t="shared" si="14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2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3"/>
        <v>#N/A</v>
      </c>
      <c r="N83" s="79" t="e">
        <f t="shared" si="11"/>
        <v>#N/A</v>
      </c>
      <c r="O83" s="91" t="e">
        <f t="shared" si="14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2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3"/>
        <v>#N/A</v>
      </c>
      <c r="N84" s="79" t="e">
        <f t="shared" si="11"/>
        <v>#N/A</v>
      </c>
      <c r="O84" s="91" t="e">
        <f t="shared" si="14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2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3"/>
        <v>#N/A</v>
      </c>
      <c r="N85" s="79" t="e">
        <f t="shared" si="11"/>
        <v>#N/A</v>
      </c>
      <c r="O85" s="91" t="e">
        <f t="shared" si="14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2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3"/>
        <v>#N/A</v>
      </c>
      <c r="N86" s="79" t="e">
        <f t="shared" si="11"/>
        <v>#N/A</v>
      </c>
      <c r="O86" s="91" t="e">
        <f t="shared" si="14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2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3"/>
        <v>#N/A</v>
      </c>
      <c r="N87" s="79" t="e">
        <f t="shared" si="11"/>
        <v>#N/A</v>
      </c>
      <c r="O87" s="91" t="e">
        <f t="shared" si="14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2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3"/>
        <v>#N/A</v>
      </c>
      <c r="N88" s="79" t="e">
        <f t="shared" si="11"/>
        <v>#N/A</v>
      </c>
      <c r="O88" s="91" t="e">
        <f t="shared" si="14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2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3"/>
        <v>#N/A</v>
      </c>
      <c r="N89" s="79" t="e">
        <f t="shared" si="11"/>
        <v>#N/A</v>
      </c>
      <c r="O89" s="91" t="e">
        <f t="shared" si="14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2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3"/>
        <v>#N/A</v>
      </c>
      <c r="N90" s="79" t="e">
        <f t="shared" si="11"/>
        <v>#N/A</v>
      </c>
      <c r="O90" s="91" t="e">
        <f t="shared" si="14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2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3"/>
        <v>#N/A</v>
      </c>
      <c r="N91" s="79" t="e">
        <f t="shared" si="11"/>
        <v>#N/A</v>
      </c>
      <c r="O91" s="91" t="e">
        <f t="shared" si="14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2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3"/>
        <v>#N/A</v>
      </c>
      <c r="N92" s="79" t="e">
        <f t="shared" si="11"/>
        <v>#N/A</v>
      </c>
      <c r="O92" s="91" t="e">
        <f t="shared" si="14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2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3"/>
        <v>#N/A</v>
      </c>
      <c r="N93" s="79" t="e">
        <f t="shared" si="11"/>
        <v>#N/A</v>
      </c>
      <c r="O93" s="91" t="e">
        <f t="shared" si="14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2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3"/>
        <v>#N/A</v>
      </c>
      <c r="N94" s="79" t="e">
        <f t="shared" si="11"/>
        <v>#N/A</v>
      </c>
      <c r="O94" s="91" t="e">
        <f t="shared" si="14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2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3"/>
        <v>#N/A</v>
      </c>
      <c r="N95" s="79" t="e">
        <f t="shared" si="11"/>
        <v>#N/A</v>
      </c>
      <c r="O95" s="91" t="e">
        <f t="shared" si="14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2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3"/>
        <v>#N/A</v>
      </c>
      <c r="N96" s="79" t="e">
        <f t="shared" si="11"/>
        <v>#N/A</v>
      </c>
      <c r="O96" s="91" t="e">
        <f t="shared" si="14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2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3"/>
        <v>#N/A</v>
      </c>
      <c r="N97" s="79" t="e">
        <f t="shared" si="11"/>
        <v>#N/A</v>
      </c>
      <c r="O97" s="91" t="e">
        <f t="shared" si="14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2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3"/>
        <v>#N/A</v>
      </c>
      <c r="N98" s="79" t="e">
        <f t="shared" si="11"/>
        <v>#N/A</v>
      </c>
      <c r="O98" s="91" t="e">
        <f t="shared" si="14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2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3"/>
        <v>#N/A</v>
      </c>
      <c r="N99" s="79" t="e">
        <f t="shared" si="11"/>
        <v>#N/A</v>
      </c>
      <c r="O99" s="91" t="e">
        <f t="shared" si="14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2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3"/>
        <v>#N/A</v>
      </c>
      <c r="N100" s="79" t="e">
        <f t="shared" si="11"/>
        <v>#N/A</v>
      </c>
      <c r="O100" s="91" t="e">
        <f t="shared" si="14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2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3"/>
        <v>#N/A</v>
      </c>
      <c r="N101" s="79" t="e">
        <f t="shared" si="11"/>
        <v>#N/A</v>
      </c>
      <c r="O101" s="91" t="e">
        <f t="shared" si="14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2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3"/>
        <v>#N/A</v>
      </c>
      <c r="N102" s="79" t="e">
        <f t="shared" si="11"/>
        <v>#N/A</v>
      </c>
      <c r="O102" s="91" t="e">
        <f t="shared" si="14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2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3"/>
        <v>#N/A</v>
      </c>
      <c r="N103" s="79" t="e">
        <f t="shared" si="11"/>
        <v>#N/A</v>
      </c>
      <c r="O103" s="91" t="e">
        <f t="shared" si="14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2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3"/>
        <v>#N/A</v>
      </c>
      <c r="N104" s="79" t="e">
        <f t="shared" si="11"/>
        <v>#N/A</v>
      </c>
      <c r="O104" s="91" t="e">
        <f t="shared" si="14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2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3"/>
        <v>#N/A</v>
      </c>
      <c r="N105" s="79" t="e">
        <f t="shared" si="11"/>
        <v>#N/A</v>
      </c>
      <c r="O105" s="91" t="e">
        <f t="shared" si="14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2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3"/>
        <v>#N/A</v>
      </c>
      <c r="N106" s="79" t="e">
        <f t="shared" si="11"/>
        <v>#N/A</v>
      </c>
      <c r="O106" s="91" t="e">
        <f t="shared" si="14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2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3"/>
        <v>#N/A</v>
      </c>
      <c r="N107" s="79" t="e">
        <f t="shared" si="11"/>
        <v>#N/A</v>
      </c>
      <c r="O107" s="91" t="e">
        <f t="shared" si="14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2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3"/>
        <v>#N/A</v>
      </c>
      <c r="N108" s="79" t="e">
        <f t="shared" si="11"/>
        <v>#N/A</v>
      </c>
      <c r="O108" s="91" t="e">
        <f t="shared" si="14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2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3"/>
        <v>#N/A</v>
      </c>
      <c r="N109" s="79" t="e">
        <f t="shared" si="11"/>
        <v>#N/A</v>
      </c>
      <c r="O109" s="91" t="e">
        <f t="shared" si="14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2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3"/>
        <v>#N/A</v>
      </c>
      <c r="N110" s="79" t="e">
        <f t="shared" si="11"/>
        <v>#N/A</v>
      </c>
      <c r="O110" s="91" t="e">
        <f t="shared" si="14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2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3"/>
        <v>#N/A</v>
      </c>
      <c r="N111" s="79" t="e">
        <f t="shared" si="11"/>
        <v>#N/A</v>
      </c>
      <c r="O111" s="91" t="e">
        <f t="shared" si="14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2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3"/>
        <v>#N/A</v>
      </c>
      <c r="N112" s="79" t="e">
        <f t="shared" si="11"/>
        <v>#N/A</v>
      </c>
      <c r="O112" s="91" t="e">
        <f t="shared" si="14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2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3"/>
        <v>#N/A</v>
      </c>
      <c r="N113" s="79" t="e">
        <f t="shared" si="11"/>
        <v>#N/A</v>
      </c>
      <c r="O113" s="91" t="e">
        <f t="shared" si="14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2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3"/>
        <v>#N/A</v>
      </c>
      <c r="N114" s="79" t="e">
        <f t="shared" si="11"/>
        <v>#N/A</v>
      </c>
      <c r="O114" s="91" t="e">
        <f t="shared" si="14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2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3"/>
        <v>#N/A</v>
      </c>
      <c r="N115" s="79" t="e">
        <f t="shared" si="11"/>
        <v>#N/A</v>
      </c>
      <c r="O115" s="91" t="e">
        <f t="shared" si="14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2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3"/>
        <v>#N/A</v>
      </c>
      <c r="N116" s="79" t="e">
        <f t="shared" si="11"/>
        <v>#N/A</v>
      </c>
      <c r="O116" s="91" t="e">
        <f t="shared" si="14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2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3"/>
        <v>#N/A</v>
      </c>
      <c r="N117" s="79" t="e">
        <f t="shared" si="11"/>
        <v>#N/A</v>
      </c>
      <c r="O117" s="91" t="e">
        <f t="shared" si="14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2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3"/>
        <v>#N/A</v>
      </c>
      <c r="N118" s="79" t="e">
        <f t="shared" si="11"/>
        <v>#N/A</v>
      </c>
      <c r="O118" s="91" t="e">
        <f t="shared" si="14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2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3"/>
        <v>#N/A</v>
      </c>
      <c r="N119" s="79" t="e">
        <f t="shared" si="11"/>
        <v>#N/A</v>
      </c>
      <c r="O119" s="91" t="e">
        <f t="shared" si="14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2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3"/>
        <v>#N/A</v>
      </c>
      <c r="N120" s="79" t="e">
        <f t="shared" si="11"/>
        <v>#N/A</v>
      </c>
      <c r="O120" s="91" t="e">
        <f t="shared" si="14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2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3"/>
        <v>#N/A</v>
      </c>
      <c r="N121" s="79" t="e">
        <f t="shared" si="11"/>
        <v>#N/A</v>
      </c>
      <c r="O121" s="91" t="e">
        <f t="shared" si="14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2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3"/>
        <v>#N/A</v>
      </c>
      <c r="N122" s="79" t="e">
        <f t="shared" si="11"/>
        <v>#N/A</v>
      </c>
      <c r="O122" s="91" t="e">
        <f t="shared" si="14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2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3"/>
        <v>#N/A</v>
      </c>
      <c r="N123" s="79" t="e">
        <f t="shared" si="11"/>
        <v>#N/A</v>
      </c>
      <c r="O123" s="91" t="e">
        <f t="shared" si="14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2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3"/>
        <v>#N/A</v>
      </c>
      <c r="N124" s="79" t="e">
        <f t="shared" si="11"/>
        <v>#N/A</v>
      </c>
      <c r="O124" s="91" t="e">
        <f t="shared" si="14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2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3"/>
        <v>#N/A</v>
      </c>
      <c r="N125" s="79" t="e">
        <f t="shared" si="11"/>
        <v>#N/A</v>
      </c>
      <c r="O125" s="91" t="e">
        <f t="shared" si="14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2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3"/>
        <v>#N/A</v>
      </c>
      <c r="N126" s="79" t="e">
        <f t="shared" si="11"/>
        <v>#N/A</v>
      </c>
      <c r="O126" s="91" t="e">
        <f t="shared" si="14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2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3"/>
        <v>#N/A</v>
      </c>
      <c r="N127" s="79" t="e">
        <f t="shared" si="11"/>
        <v>#N/A</v>
      </c>
      <c r="O127" s="91" t="e">
        <f t="shared" si="14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2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3"/>
        <v>#N/A</v>
      </c>
      <c r="N128" s="79" t="e">
        <f t="shared" si="11"/>
        <v>#N/A</v>
      </c>
      <c r="O128" s="91" t="e">
        <f t="shared" si="14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2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3"/>
        <v>#N/A</v>
      </c>
      <c r="N129" s="79" t="e">
        <f t="shared" si="11"/>
        <v>#N/A</v>
      </c>
      <c r="O129" s="91" t="e">
        <f t="shared" si="14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2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3"/>
        <v>#N/A</v>
      </c>
      <c r="N130" s="79" t="e">
        <f t="shared" si="11"/>
        <v>#N/A</v>
      </c>
      <c r="O130" s="91" t="e">
        <f t="shared" si="14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2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3"/>
        <v>#N/A</v>
      </c>
      <c r="N131" s="79" t="e">
        <f t="shared" ref="N131:N141" si="15">L131/$L$142</f>
        <v>#N/A</v>
      </c>
      <c r="O131" s="91" t="e">
        <f t="shared" si="14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ref="D132:D141" si="16">VALUE(C132)</f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ref="M132:M141" si="17">VALUE(L132)</f>
        <v>#N/A</v>
      </c>
      <c r="N132" s="79" t="e">
        <f t="shared" si="15"/>
        <v>#N/A</v>
      </c>
      <c r="O132" s="91" t="e">
        <f t="shared" ref="O132:O141" si="18">D132*N132</f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7"/>
        <v>#N/A</v>
      </c>
      <c r="N133" s="79" t="e">
        <f t="shared" si="15"/>
        <v>#N/A</v>
      </c>
      <c r="O133" s="91" t="e">
        <f t="shared" si="18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7"/>
        <v>#N/A</v>
      </c>
      <c r="N134" s="79" t="e">
        <f t="shared" si="15"/>
        <v>#N/A</v>
      </c>
      <c r="O134" s="91" t="e">
        <f t="shared" si="18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7"/>
        <v>#N/A</v>
      </c>
      <c r="N135" s="79" t="e">
        <f t="shared" si="15"/>
        <v>#N/A</v>
      </c>
      <c r="O135" s="91" t="e">
        <f t="shared" si="18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7"/>
        <v>#N/A</v>
      </c>
      <c r="N136" s="79" t="e">
        <f t="shared" si="15"/>
        <v>#N/A</v>
      </c>
      <c r="O136" s="91" t="e">
        <f t="shared" si="18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7"/>
        <v>#N/A</v>
      </c>
      <c r="N137" s="79" t="e">
        <f t="shared" si="15"/>
        <v>#N/A</v>
      </c>
      <c r="O137" s="91" t="e">
        <f t="shared" si="18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7"/>
        <v>#N/A</v>
      </c>
      <c r="N138" s="79" t="e">
        <f t="shared" si="15"/>
        <v>#N/A</v>
      </c>
      <c r="O138" s="91" t="e">
        <f t="shared" si="18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7"/>
        <v>#N/A</v>
      </c>
      <c r="N139" s="79" t="e">
        <f t="shared" si="15"/>
        <v>#N/A</v>
      </c>
      <c r="O139" s="91" t="e">
        <f t="shared" si="18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7"/>
        <v>#N/A</v>
      </c>
      <c r="N140" s="79" t="e">
        <f t="shared" si="15"/>
        <v>#N/A</v>
      </c>
      <c r="O140" s="91" t="e">
        <f t="shared" si="18"/>
        <v>#N/A</v>
      </c>
    </row>
    <row r="141" spans="1:15" ht="13.5" thickBot="1" x14ac:dyDescent="0.25">
      <c r="A141" s="84"/>
      <c r="B141" s="56" t="e">
        <f>IF(LEN(VLOOKUP(A141,'Species List'!$A:$G,2,FALSE))=0,"",VLOOKUP(A141,'Species List'!$A:$G,2,FALSE))</f>
        <v>#N/A</v>
      </c>
      <c r="C141" s="56" t="e">
        <f>IF(LEN(VLOOKUP(A141,'Species List'!$A:$G,3,FALSE))=0,"",VLOOKUP(A141,'Species List'!$A:$G,3,FALSE))</f>
        <v>#N/A</v>
      </c>
      <c r="D141" s="92" t="e">
        <f t="shared" si="16"/>
        <v>#N/A</v>
      </c>
      <c r="E141" s="56" t="e">
        <f>IF(LEN(VLOOKUP(A141,'Species List'!$A:$G,4,FALSE))=0,"",VLOOKUP(A141,'Species List'!$A:$G,4,FALSE))</f>
        <v>#N/A</v>
      </c>
      <c r="F141" s="56" t="e">
        <f>IF(LEN(VLOOKUP(A141,'Species List'!$A:$G,5,FALSE))=0,"",VLOOKUP(A141,'Species List'!$A:$G,5,FALSE))</f>
        <v>#N/A</v>
      </c>
      <c r="G141" s="56" t="e">
        <f>IF(LEN(VLOOKUP(A141,'Species List'!$A:$G,6,FALSE))=0,"",VLOOKUP(A141,'Species List'!$A:$G,6,FALSE))</f>
        <v>#N/A</v>
      </c>
      <c r="H141" s="56" t="e">
        <f>VLOOKUP(A141,'Species List'!$A:$G,7,FALSE)</f>
        <v>#N/A</v>
      </c>
      <c r="I141" s="41"/>
      <c r="J141" s="86"/>
      <c r="K141" s="58" t="e">
        <f>VLOOKUP(J141,'Species List'!$H$1:$J$9,2,FALSE)</f>
        <v>#N/A</v>
      </c>
      <c r="L141" s="58" t="e">
        <f>VLOOKUP(K141,'Species List'!$I$1:$N$8,2,FALSE)</f>
        <v>#N/A</v>
      </c>
      <c r="M141" s="93" t="e">
        <f t="shared" si="17"/>
        <v>#N/A</v>
      </c>
      <c r="N141" s="41" t="e">
        <f t="shared" si="15"/>
        <v>#N/A</v>
      </c>
      <c r="O141" s="91" t="e">
        <f t="shared" si="18"/>
        <v>#N/A</v>
      </c>
    </row>
    <row r="142" spans="1:15" ht="14.25" thickTop="1" thickBot="1" x14ac:dyDescent="0.25">
      <c r="I142" s="146" t="s">
        <v>4791</v>
      </c>
      <c r="J142" s="147"/>
      <c r="K142" s="148"/>
      <c r="L142" s="57">
        <f>SUMIF(L10:L141,"&gt;=0")</f>
        <v>132</v>
      </c>
      <c r="M142" s="73"/>
    </row>
  </sheetData>
  <protectedRanges>
    <protectedRange password="EBBA" sqref="B9" name="Range1"/>
    <protectedRange password="EBBA" sqref="K10:K141" name="Range2"/>
  </protectedRanges>
  <sortState xmlns:xlrd2="http://schemas.microsoft.com/office/spreadsheetml/2017/richdata2" ref="A10:O18">
    <sortCondition ref="A10:A18"/>
  </sortState>
  <dataConsolidate/>
  <mergeCells count="3">
    <mergeCell ref="A1:O1"/>
    <mergeCell ref="B7:E7"/>
    <mergeCell ref="I142:K142"/>
  </mergeCells>
  <dataValidations count="1">
    <dataValidation type="list" allowBlank="1" showInputMessage="1" showErrorMessage="1" sqref="B2" xr:uid="{AD1FD1E2-3851-40D7-A8AB-0B2678DC6110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J10" sqref="J10:J23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4883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11" si="0">VALUE(C10)</f>
        <v>3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0.24590163934426229</v>
      </c>
      <c r="O10" s="99">
        <f t="shared" ref="O10:O11" si="3">D10*N10</f>
        <v>0.73770491803278682</v>
      </c>
    </row>
    <row r="11" spans="1:15" ht="13.5" thickBot="1" x14ac:dyDescent="0.25">
      <c r="A11" s="123" t="s">
        <v>270</v>
      </c>
      <c r="B11" s="40" t="str">
        <f>IF(LEN(VLOOKUP(A11,'Species List'!$A:$G,2,FALSE))=0,"",VLOOKUP(A11,'Species List'!$A:$G,2,FALSE))</f>
        <v>garlic mustard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4.9180327868852458E-2</v>
      </c>
      <c r="O11" s="99">
        <f t="shared" si="3"/>
        <v>0</v>
      </c>
    </row>
    <row r="12" spans="1:15" ht="13.5" thickBot="1" x14ac:dyDescent="0.25">
      <c r="A12" s="123" t="s">
        <v>4879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/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4.9180327868852458E-2</v>
      </c>
      <c r="O12" s="79">
        <f>D12*N12</f>
        <v>0</v>
      </c>
    </row>
    <row r="13" spans="1:15" ht="13.5" thickBot="1" x14ac:dyDescent="0.25">
      <c r="A13" s="123" t="s">
        <v>1349</v>
      </c>
      <c r="B13" s="40" t="str">
        <f>IF(LEN(VLOOKUP(A13,'Species List'!$A:$G,2,FALSE))=0,"",VLOOKUP(A13,'Species List'!$A:$G,2,FALSE))</f>
        <v>common enchanter's nightshade</v>
      </c>
      <c r="C13" s="40">
        <f>IF(LEN(VLOOKUP(A13,'Species List'!$A:$G,3,FALSE))=0,"",VLOOKUP(A13,'Species List'!$A:$G,3,FALSE))</f>
        <v>2</v>
      </c>
      <c r="D13" s="92">
        <f t="shared" ref="D13:D75" si="4">VALUE(C13)</f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[FACU]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4.9180327868852458E-2</v>
      </c>
      <c r="O13" s="91">
        <f t="shared" ref="O13:O75" si="6">D13*N13</f>
        <v>9.8360655737704916E-2</v>
      </c>
    </row>
    <row r="14" spans="1:15" ht="13.5" thickBot="1" x14ac:dyDescent="0.25">
      <c r="A14" s="123" t="s">
        <v>4548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1</v>
      </c>
      <c r="D14" s="92">
        <f t="shared" si="4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3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5"/>
        <v>15</v>
      </c>
      <c r="N14" s="91">
        <f t="shared" si="2"/>
        <v>0.24590163934426229</v>
      </c>
      <c r="O14" s="91">
        <f t="shared" si="6"/>
        <v>0.24590163934426229</v>
      </c>
    </row>
    <row r="15" spans="1:15" ht="13.5" thickBot="1" x14ac:dyDescent="0.25">
      <c r="A15" s="123" t="s">
        <v>2215</v>
      </c>
      <c r="B15" s="40" t="str">
        <f>IF(LEN(VLOOKUP(A15,'Species List'!$A:$G,2,FALSE))=0,"",VLOOKUP(A15,'Species List'!$A:$G,2,FALSE))</f>
        <v>white avens</v>
      </c>
      <c r="C15" s="40">
        <f>IF(LEN(VLOOKUP(A15,'Species List'!$A:$G,3,FALSE))=0,"",VLOOKUP(A15,'Species List'!$A:$G,3,FALSE))</f>
        <v>2</v>
      </c>
      <c r="D15" s="92">
        <f t="shared" si="4"/>
        <v>2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4.9180327868852458E-2</v>
      </c>
      <c r="O15" s="91">
        <f t="shared" si="6"/>
        <v>9.8360655737704916E-2</v>
      </c>
    </row>
    <row r="16" spans="1:15" ht="13.5" thickBot="1" x14ac:dyDescent="0.25">
      <c r="A16" s="123" t="s">
        <v>324</v>
      </c>
      <c r="B16" s="40" t="str">
        <f>IF(LEN(VLOOKUP(A16,'Species List'!$A:$G,2,FALSE))=0,"",VLOOKUP(A16,'Species List'!$A:$G,2,FALSE))</f>
        <v>great ragweed</v>
      </c>
      <c r="C16" s="40">
        <f>IF(LEN(VLOOKUP(A16,'Species List'!$A:$G,3,FALSE))=0,"",VLOOKUP(A16,'Species List'!$A:$G,3,FALSE))</f>
        <v>0</v>
      </c>
      <c r="D16" s="92">
        <f t="shared" si="4"/>
        <v>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[FAC+]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4.9180327868852458E-2</v>
      </c>
      <c r="O16" s="91">
        <f t="shared" si="6"/>
        <v>0</v>
      </c>
    </row>
    <row r="17" spans="1:15" ht="13.5" thickBot="1" x14ac:dyDescent="0.25">
      <c r="A17" s="123" t="s">
        <v>4150</v>
      </c>
      <c r="B17" s="40" t="str">
        <f>IF(LEN(VLOOKUP(A17,'Species List'!$A:$G,2,FALSE))=0,"",VLOOKUP(A17,'Species List'!$A:$G,2,FALSE))</f>
        <v>bittersweet nightshade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[FAC]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4.9180327868852458E-2</v>
      </c>
      <c r="O17" s="91">
        <f t="shared" si="6"/>
        <v>0</v>
      </c>
    </row>
    <row r="18" spans="1:15" ht="13.5" thickBot="1" x14ac:dyDescent="0.25">
      <c r="A18" s="123" t="s">
        <v>2600</v>
      </c>
      <c r="B18" s="40" t="str">
        <f>IF(LEN(VLOOKUP(A18,'Species List'!$A:$G,2,FALSE))=0,"",VLOOKUP(A18,'Species List'!$A:$G,2,FALSE))</f>
        <v>common motherwort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4.9180327868852458E-2</v>
      </c>
      <c r="O18" s="91">
        <f t="shared" si="6"/>
        <v>0</v>
      </c>
    </row>
    <row r="19" spans="1:15" ht="13.5" thickBot="1" x14ac:dyDescent="0.25">
      <c r="A19" s="123" t="s">
        <v>4857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2</v>
      </c>
      <c r="D19" s="92">
        <f t="shared" si="4"/>
        <v>2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4.9180327868852458E-2</v>
      </c>
      <c r="O19" s="91">
        <f t="shared" si="6"/>
        <v>9.8360655737704916E-2</v>
      </c>
    </row>
    <row r="20" spans="1:15" ht="13.5" thickBot="1" x14ac:dyDescent="0.25">
      <c r="A20" s="123" t="s">
        <v>457</v>
      </c>
      <c r="B20" s="40" t="str">
        <f>IF(LEN(VLOOKUP(A20,'Species List'!$A:$G,2,FALSE))=0,"",VLOOKUP(A20,'Species List'!$A:$G,2,FALSE))</f>
        <v>common burdock</v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4.9180327868852458E-2</v>
      </c>
      <c r="O20" s="91">
        <f t="shared" si="6"/>
        <v>0</v>
      </c>
    </row>
    <row r="21" spans="1:15" ht="13.5" thickBot="1" x14ac:dyDescent="0.25">
      <c r="A21" s="123" t="s">
        <v>3231</v>
      </c>
      <c r="B21" s="40" t="str">
        <f>IF(LEN(VLOOKUP(A21,'Species List'!$A:$G,2,FALSE))=0,"",VLOOKUP(A21,'Species List'!$A:$G,2,FALSE))</f>
        <v>arrow-leaved tearthumb</v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OBL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4.9180327868852458E-2</v>
      </c>
      <c r="O21" s="91">
        <f t="shared" si="6"/>
        <v>0.19672131147540983</v>
      </c>
    </row>
    <row r="22" spans="1:15" ht="13.5" thickBot="1" x14ac:dyDescent="0.25">
      <c r="A22" s="123" t="s">
        <v>234</v>
      </c>
      <c r="B22" s="40" t="str">
        <f>IF(LEN(VLOOKUP(A22,'Species List'!$A:$G,2,FALSE))=0,"",VLOOKUP(A22,'Species List'!$A:$G,2,FALSE))</f>
        <v>white snakeroot</v>
      </c>
      <c r="C22" s="40">
        <f>IF(LEN(VLOOKUP(A22,'Species List'!$A:$G,3,FALSE))=0,"",VLOOKUP(A22,'Species List'!$A:$G,3,FALSE))</f>
        <v>1</v>
      </c>
      <c r="D22" s="92">
        <f t="shared" si="4"/>
        <v>1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3" t="s">
        <v>4824</v>
      </c>
      <c r="K22" s="43" t="str">
        <f>VLOOKUP(J22,'Species List'!$H$1:$J$9,2,FALSE)</f>
        <v>&gt;0-1%</v>
      </c>
      <c r="L22" s="43">
        <f>VLOOKUP(K22,'Species List'!$I$1:$N$8,2,FALSE)</f>
        <v>0.5</v>
      </c>
      <c r="M22" s="93">
        <f t="shared" si="5"/>
        <v>0.5</v>
      </c>
      <c r="N22" s="91">
        <f t="shared" si="2"/>
        <v>8.1967213114754103E-3</v>
      </c>
      <c r="O22" s="91">
        <f t="shared" si="6"/>
        <v>8.1967213114754103E-3</v>
      </c>
    </row>
    <row r="23" spans="1:15" ht="13.5" thickBot="1" x14ac:dyDescent="0.25">
      <c r="A23" s="123" t="s">
        <v>4373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6</v>
      </c>
      <c r="D23" s="92">
        <f t="shared" si="4"/>
        <v>6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</v>
      </c>
      <c r="H23" s="40">
        <f>VLOOKUP(A23,'Species List'!$A:$G,7,FALSE)</f>
        <v>0</v>
      </c>
      <c r="J23" s="123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5"/>
        <v>0.5</v>
      </c>
      <c r="N23" s="91">
        <f t="shared" si="2"/>
        <v>8.1967213114754103E-3</v>
      </c>
      <c r="O23" s="91">
        <f t="shared" si="6"/>
        <v>4.9180327868852458E-2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91" t="e">
        <f t="shared" si="2"/>
        <v>#N/A</v>
      </c>
      <c r="O24" s="91" t="e">
        <f t="shared" si="6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91" t="e">
        <f t="shared" si="2"/>
        <v>#N/A</v>
      </c>
      <c r="O25" s="91" t="e">
        <f t="shared" si="6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91" t="e">
        <f t="shared" si="2"/>
        <v>#N/A</v>
      </c>
      <c r="O26" s="91" t="e">
        <f t="shared" si="6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91" t="e">
        <f t="shared" si="2"/>
        <v>#N/A</v>
      </c>
      <c r="O27" s="91" t="e">
        <f t="shared" si="6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91" t="e">
        <f t="shared" si="2"/>
        <v>#N/A</v>
      </c>
      <c r="O28" s="91" t="e">
        <f t="shared" si="6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91" t="e">
        <f t="shared" si="2"/>
        <v>#N/A</v>
      </c>
      <c r="O29" s="91" t="e">
        <f t="shared" si="6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ht="13.5" thickBot="1" x14ac:dyDescent="0.25">
      <c r="A35" s="123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2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ht="13.5" thickBot="1" x14ac:dyDescent="0.25">
      <c r="A36" s="123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61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D4" sqref="D4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4866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26" si="0">VALUE(C10)</f>
        <v>3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76" si="1">VALUE(L10)</f>
        <v>0.5</v>
      </c>
      <c r="N10" s="99">
        <f t="shared" ref="N10:N75" si="2">L10/$L$151</f>
        <v>0.14285714285714285</v>
      </c>
      <c r="O10" s="99">
        <f t="shared" ref="O10:O76" si="3">D10*N10</f>
        <v>0.42857142857142855</v>
      </c>
    </row>
    <row r="11" spans="1:15" ht="13.5" thickBot="1" x14ac:dyDescent="0.25">
      <c r="A11" s="123" t="s">
        <v>5463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>
        <v>0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0.8571428571428571</v>
      </c>
      <c r="O11" s="99">
        <f t="shared" si="3"/>
        <v>0</v>
      </c>
    </row>
    <row r="12" spans="1:15" ht="13.5" thickBot="1" x14ac:dyDescent="0.25">
      <c r="A12" s="123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 t="shared" si="0"/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23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98" t="e">
        <f t="shared" si="2"/>
        <v>#N/A</v>
      </c>
      <c r="O12" s="98" t="e">
        <f t="shared" si="3"/>
        <v>#N/A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91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91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3.5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667F-B3CA-49B7-BB70-199FD7C08C7F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COUNTIF(Woody!$F$10:$F$140,"Native")</f>
        <v>8</v>
      </c>
      <c r="C4" s="95">
        <f>COUNTIF(Forbs!$F$10:$F$147,"Native")</f>
        <v>9</v>
      </c>
      <c r="D4" s="95">
        <f>COUNTIF(Grasses!$F$10:$F$149,"Native")</f>
        <v>1</v>
      </c>
      <c r="E4" s="95">
        <f>AVERAGE(B4:D4)</f>
        <v>6</v>
      </c>
      <c r="F4" s="95">
        <f>SUM(B4:D4)</f>
        <v>18</v>
      </c>
    </row>
    <row r="5" spans="1:6" ht="18" x14ac:dyDescent="0.25">
      <c r="A5" s="49" t="s">
        <v>4784</v>
      </c>
      <c r="B5" s="95">
        <f>COUNTIF(Woody!$F10:$F190,"Introduced")</f>
        <v>1</v>
      </c>
      <c r="C5" s="95">
        <f>COUNTIF(Forbs!$F10:$F198,"Introduced")</f>
        <v>4</v>
      </c>
      <c r="D5" s="95">
        <f>COUNTIF(Grasses!$F10:$F199,"Introduced")</f>
        <v>0</v>
      </c>
      <c r="E5" s="95">
        <f t="shared" ref="E5:E6" si="0">AVERAGE(B5:D5)</f>
        <v>1.6666666666666667</v>
      </c>
      <c r="F5" s="95">
        <f>SUM(B5:D5)</f>
        <v>5</v>
      </c>
    </row>
    <row r="6" spans="1:6" s="75" customFormat="1" ht="21" x14ac:dyDescent="0.35">
      <c r="A6" s="49" t="s">
        <v>4826</v>
      </c>
      <c r="B6" s="95">
        <f>SUM(B4:B5)</f>
        <v>9</v>
      </c>
      <c r="C6" s="95">
        <f>SUM(C4:C5)</f>
        <v>13</v>
      </c>
      <c r="D6" s="95">
        <f>SUM(D4:D5)</f>
        <v>1</v>
      </c>
      <c r="E6" s="95">
        <f t="shared" si="0"/>
        <v>7.666666666666667</v>
      </c>
      <c r="F6" s="95">
        <f>SUM(B6:D6)</f>
        <v>23</v>
      </c>
    </row>
    <row r="7" spans="1:6" ht="18" x14ac:dyDescent="0.25">
      <c r="A7" s="49" t="s">
        <v>4785</v>
      </c>
      <c r="B7" s="95">
        <f>AVERAGEIF(Woody!D10:D141,"&gt;0")</f>
        <v>2.375</v>
      </c>
      <c r="C7" s="95">
        <f>AVERAGEIF(Forbs!D10:D149,"&gt;0")</f>
        <v>2.625</v>
      </c>
      <c r="D7" s="95">
        <f>AVERAGEIF(Grasses!D10:D150,"&gt;0")</f>
        <v>3</v>
      </c>
      <c r="E7" s="95">
        <f>AVERAGE(B7:D7)</f>
        <v>2.6666666666666665</v>
      </c>
      <c r="F7" s="95">
        <f>(SUMIF(Woody!D10:D141,"&gt;0")+SUMIF(Forbs!D10:D149,"&gt;0")+SUMIF(Grasses!D10:D150,"&gt;0"))/(COUNTIF(Woody!D10:D141,"&gt;0")+COUNTIF(Forbs!D10:D149,"&gt;0")+COUNTIF(Grasses!D10:D150,"&gt;0"))</f>
        <v>2.5294117647058822</v>
      </c>
    </row>
    <row r="8" spans="1:6" s="31" customFormat="1" ht="21" x14ac:dyDescent="0.35">
      <c r="A8" s="49" t="s">
        <v>4827</v>
      </c>
      <c r="B8" s="95">
        <f>AVERAGEIF(Woody!D10:D141,"&gt;=0")</f>
        <v>2.1111111111111112</v>
      </c>
      <c r="C8" s="95">
        <f>AVERAGEIF(Forbs!D10:D149,"&gt;=0")</f>
        <v>1.5</v>
      </c>
      <c r="D8" s="95">
        <f>AVERAGEIF(Grasses!D10:D150,"&gt;=0")</f>
        <v>1.5</v>
      </c>
      <c r="E8" s="95">
        <f>AVERAGE(B8:D8)</f>
        <v>1.7037037037037035</v>
      </c>
      <c r="F8" s="95">
        <f>(SUMIF(Woody!D10:D141,"&gt;=0")+SUMIF(Forbs!D10:D149,"&gt;=0")+SUMIF(Grasses!D10:D150,"&gt;=0"))/(COUNTIF(Woody!D10:D141,"&gt;=0")+COUNTIF(Forbs!D10:D149,"&gt;=0")+COUNTIF(Grasses!D10:D150,"&gt;=0"))</f>
        <v>1.72</v>
      </c>
    </row>
    <row r="9" spans="1:6" ht="18" x14ac:dyDescent="0.25">
      <c r="A9" s="49" t="s">
        <v>4778</v>
      </c>
      <c r="B9" s="95">
        <f>SQRT(B4)*B7</f>
        <v>6.7175144212722016</v>
      </c>
      <c r="C9" s="95">
        <f>SQRT(C4)*C7</f>
        <v>7.875</v>
      </c>
      <c r="D9" s="95">
        <f>SQRT(D4)*D7</f>
        <v>3</v>
      </c>
      <c r="E9" s="95">
        <f>SQRT(E4)*E7</f>
        <v>6.5319726474218074</v>
      </c>
      <c r="F9" s="95">
        <f>SQRT(F4)*F7</f>
        <v>10.731385267419366</v>
      </c>
    </row>
    <row r="10" spans="1:6" s="76" customFormat="1" ht="21" x14ac:dyDescent="0.35">
      <c r="A10" s="49" t="s">
        <v>4828</v>
      </c>
      <c r="B10" s="95">
        <f>SQRT(B6)*B8</f>
        <v>6.3333333333333339</v>
      </c>
      <c r="C10" s="95">
        <f>SQRT(C6)*C8</f>
        <v>5.4083269131959835</v>
      </c>
      <c r="D10" s="95">
        <f>SQRT(D6)*D8</f>
        <v>1.5</v>
      </c>
      <c r="E10" s="95">
        <f>SQRT(E6)*E8</f>
        <v>4.717341946842363</v>
      </c>
      <c r="F10" s="95">
        <f>SQRT(F6)*F8</f>
        <v>8.2488302200978776</v>
      </c>
    </row>
    <row r="11" spans="1:6" ht="18" x14ac:dyDescent="0.25">
      <c r="A11" s="49" t="s">
        <v>4786</v>
      </c>
      <c r="B11" s="95">
        <f>SUMIF(Woody!$M$10:$M$141,"&gt;=0")</f>
        <v>132</v>
      </c>
      <c r="C11" s="95">
        <f>SUMIF(Forbs!$M$10:$M$150,"&gt;=0")</f>
        <v>61</v>
      </c>
      <c r="D11" s="95">
        <f>SUMIF(Grasses!$M$10:$M$150,"&gt;=0")</f>
        <v>3.5</v>
      </c>
      <c r="E11" s="95">
        <f>AVERAGE(B11:D11)</f>
        <v>65.5</v>
      </c>
      <c r="F11" s="95">
        <f>SUM(B11:D11)</f>
        <v>196.5</v>
      </c>
    </row>
    <row r="12" spans="1:6" ht="18" x14ac:dyDescent="0.25">
      <c r="A12" s="49" t="s">
        <v>4792</v>
      </c>
      <c r="B12" s="95">
        <f>SUMIF(Woody!$F$10:$F$141,"Introduced",Woody!$L$10:$L$141)</f>
        <v>62.5</v>
      </c>
      <c r="C12" s="95">
        <f>SUMIF(Forbs!$F$10:$F$150,"Introduced",Forbs!$L$10:$L$150)</f>
        <v>12</v>
      </c>
      <c r="D12" s="95">
        <f>SUMIF(Grasses!$F$10:$F$150,"Introduced",Grasses!$L$10:$L$150)</f>
        <v>0</v>
      </c>
      <c r="E12" s="95">
        <f>AVERAGE(B12:D12)</f>
        <v>24.833333333333332</v>
      </c>
      <c r="F12" s="95">
        <f>SUM(B12:D12)</f>
        <v>74.5</v>
      </c>
    </row>
    <row r="13" spans="1:6" ht="18.75" thickBot="1" x14ac:dyDescent="0.3">
      <c r="A13" s="50" t="s">
        <v>4787</v>
      </c>
      <c r="B13" s="96">
        <f>B12/B11</f>
        <v>0.47348484848484851</v>
      </c>
      <c r="C13" s="96">
        <f>C12/C11</f>
        <v>0.19672131147540983</v>
      </c>
      <c r="D13" s="96">
        <f>D12/D11</f>
        <v>0</v>
      </c>
      <c r="E13" s="96">
        <f>E12/E11</f>
        <v>0.37913486005089059</v>
      </c>
      <c r="F13" s="96">
        <f>F12/F11</f>
        <v>0.37913486005089059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SUMIF(Woody!$O$10:$O$141,"&gt;=0")</f>
        <v>1.3939393939393938</v>
      </c>
      <c r="C15" s="94">
        <f>SUMIF(Forbs!$O$10:$O$149,"&gt;=0")</f>
        <v>1.5327868852459017</v>
      </c>
      <c r="D15" s="94">
        <f>SUMIF(Grasses!$O$10:$O$150,"&gt;=0")</f>
        <v>0.42857142857142855</v>
      </c>
      <c r="E15" s="94">
        <f>AVERAGE(B15:D15)</f>
        <v>1.1184325692522414</v>
      </c>
      <c r="F15" s="95">
        <f>SUM(B15:D15)</f>
        <v>3.3552977077567241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2025-11-24T17:00:35Z</dcterms:modified>
</cp:coreProperties>
</file>