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74D77658-FE6D-45AF-9D81-A277B954B571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D20" i="10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<sst xmlns="http://schemas.openxmlformats.org/spreadsheetml/2006/main" count="13229" uniqueCount="5524">
  <si>
    <t>a</t>
    <phoneticPr fontId="12" type="noConversion"/>
  </si>
  <si>
    <t>b</t>
    <phoneticPr fontId="12" type="noConversion"/>
  </si>
  <si>
    <t>C</t>
    <phoneticPr fontId="12" type="noConversion"/>
  </si>
  <si>
    <t>E</t>
    <phoneticPr fontId="12" type="noConversion"/>
  </si>
  <si>
    <t>0.5-2m</t>
    <phoneticPr fontId="12" type="noConversion"/>
  </si>
  <si>
    <t>0.1-0.5m</t>
    <phoneticPr fontId="12" type="noConversion"/>
  </si>
  <si>
    <t>0-0.1m</t>
    <phoneticPr fontId="12" type="noConversion"/>
  </si>
  <si>
    <t>small colonies, broken mat</t>
    <phoneticPr fontId="12" type="noConversion"/>
  </si>
  <si>
    <t>large group, many plants</t>
    <phoneticPr fontId="12" type="noConversion"/>
  </si>
  <si>
    <t>small dense clumps</t>
    <phoneticPr fontId="12" type="noConversion"/>
  </si>
  <si>
    <t>growing singly</t>
    <phoneticPr fontId="12" type="noConversion"/>
  </si>
  <si>
    <t>Thatch:</t>
    <phoneticPr fontId="12" type="noConversion"/>
  </si>
  <si>
    <t>c</t>
    <phoneticPr fontId="12" type="noConversion"/>
  </si>
  <si>
    <t>i</t>
    <phoneticPr fontId="12" type="noConversion"/>
  </si>
  <si>
    <t>p</t>
    <phoneticPr fontId="12" type="noConversion"/>
  </si>
  <si>
    <t>r</t>
    <phoneticPr fontId="12" type="noConversion"/>
  </si>
  <si>
    <t>50-75%</t>
    <phoneticPr fontId="12" type="noConversion"/>
  </si>
  <si>
    <t>25-50%</t>
    <phoneticPr fontId="12" type="noConversion"/>
  </si>
  <si>
    <t>5-25%</t>
    <phoneticPr fontId="12" type="noConversion"/>
  </si>
  <si>
    <t>1-5%</t>
    <phoneticPr fontId="12" type="noConversion"/>
  </si>
  <si>
    <t>Extensive mat</t>
    <phoneticPr fontId="12" type="noConversion"/>
  </si>
  <si>
    <t>Abundance</t>
    <phoneticPr fontId="12" type="noConversion"/>
  </si>
  <si>
    <t>Group</t>
    <phoneticPr fontId="12" type="noConversion"/>
  </si>
  <si>
    <t>B</t>
    <phoneticPr fontId="12" type="noConversion"/>
  </si>
  <si>
    <t>D</t>
    <phoneticPr fontId="12" type="noConversion"/>
  </si>
  <si>
    <t>G</t>
    <phoneticPr fontId="12" type="noConversion"/>
  </si>
  <si>
    <t>H</t>
    <phoneticPr fontId="12" type="noConversion"/>
  </si>
  <si>
    <t>L</t>
    <phoneticPr fontId="12" type="noConversion"/>
  </si>
  <si>
    <t>K</t>
    <phoneticPr fontId="12" type="noConversion"/>
  </si>
  <si>
    <t>X</t>
    <phoneticPr fontId="12" type="noConversion"/>
  </si>
  <si>
    <t>Broadleaf evergreen</t>
    <phoneticPr fontId="12" type="noConversion"/>
  </si>
  <si>
    <t>Broadleaf deciduous</t>
    <phoneticPr fontId="12" type="noConversion"/>
  </si>
  <si>
    <t>Needleleaf evergreen</t>
    <phoneticPr fontId="12" type="noConversion"/>
  </si>
  <si>
    <t>Graminoids</t>
    <phoneticPr fontId="12" type="noConversion"/>
  </si>
  <si>
    <t>Forbs</t>
    <phoneticPr fontId="12" type="noConversion"/>
  </si>
  <si>
    <t>Lichens &amp; mosses</t>
    <phoneticPr fontId="12" type="noConversion"/>
  </si>
  <si>
    <t>Climbers</t>
    <phoneticPr fontId="12" type="noConversion"/>
  </si>
  <si>
    <t>Stem succulents</t>
    <phoneticPr fontId="12" type="noConversion"/>
  </si>
  <si>
    <t>Epiphytes</t>
    <phoneticPr fontId="12" type="noConversion"/>
  </si>
  <si>
    <t xml:space="preserve"> +</t>
    <phoneticPr fontId="12" type="noConversion"/>
  </si>
  <si>
    <t>&lt;5% cover, many individuals</t>
    <phoneticPr fontId="12" type="noConversion"/>
  </si>
  <si>
    <t>&lt;5% cover, few (2-20) individuals</t>
    <phoneticPr fontId="12" type="noConversion"/>
  </si>
  <si>
    <t>&lt;5% cover, single</t>
    <phoneticPr fontId="12" type="noConversion"/>
  </si>
  <si>
    <t>Life Form</t>
    <phoneticPr fontId="12" type="noConversion"/>
  </si>
  <si>
    <t>Height</t>
    <phoneticPr fontId="12" type="noConversion"/>
  </si>
  <si>
    <t>Sociability</t>
    <phoneticPr fontId="12" type="noConversion"/>
  </si>
  <si>
    <t>&gt;35m</t>
    <phoneticPr fontId="12" type="noConversion"/>
  </si>
  <si>
    <t>20-35m</t>
    <phoneticPr fontId="12" type="noConversion"/>
  </si>
  <si>
    <t>10-20m</t>
    <phoneticPr fontId="12" type="noConversion"/>
  </si>
  <si>
    <t>5-10m</t>
    <phoneticPr fontId="12" type="noConversion"/>
  </si>
  <si>
    <t>2-5m</t>
    <phoneticPr fontId="12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</si>
  <si>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</si>
  <si>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</si>
  <si>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</si>
  <si>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</si>
  <si>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</si>
  <si>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</si>
  <si>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</si>
  <si>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</si>
  <si>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</si>
  <si>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</si>
  <si>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</si>
  <si>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</si>
  <si>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</si>
  <si>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</si>
  <si>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</si>
  <si>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</si>
  <si>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</si>
  <si>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</si>
  <si>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</si>
  <si>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</si>
  <si>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</si>
  <si>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</si>
  <si>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</si>
  <si>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</si>
  <si>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</si>
  <si>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</si>
  <si>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</si>
  <si>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</si>
  <si>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</si>
  <si>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</si>
  <si>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</si>
  <si>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</si>
  <si>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</si>
  <si>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</si>
  <si>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</si>
  <si>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</si>
  <si>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</si>
  <si>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</si>
  <si>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</si>
  <si>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</si>
  <si>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</si>
  <si>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</si>
  <si>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</si>
  <si>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</si>
  <si>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</si>
  <si>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</si>
  <si>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</si>
  <si>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</si>
  <si>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</si>
  <si>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</si>
  <si>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</si>
  <si>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</si>
  <si>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</si>
  <si>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</si>
  <si>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</si>
  <si>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</si>
  <si>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</si>
  <si>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</si>
  <si>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</si>
  <si>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</si>
  <si>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</si>
  <si>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</si>
  <si>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</si>
  <si>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</si>
  <si>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</si>
  <si>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</si>
  <si>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</si>
  <si>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</si>
  <si>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</si>
  <si>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</si>
  <si>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</si>
  <si>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</si>
  <si>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</si>
  <si>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</si>
  <si>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</si>
  <si>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</si>
  <si>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</si>
  <si>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</si>
  <si>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</si>
  <si>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</si>
  <si>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</si>
  <si>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</si>
  <si>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</si>
  <si>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</si>
  <si>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</si>
  <si>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</si>
  <si>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</si>
  <si>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</si>
  <si>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</si>
  <si>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</si>
  <si>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</si>
  <si>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</si>
  <si>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</si>
  <si>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</si>
  <si>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</si>
  <si>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</si>
  <si>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</si>
  <si>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</si>
  <si>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</si>
  <si>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</si>
  <si>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</si>
  <si>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</si>
  <si>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</si>
  <si>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</si>
  <si>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</si>
  <si>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</si>
  <si>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</si>
  <si>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</si>
  <si>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</si>
  <si>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</si>
  <si>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</si>
  <si>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</si>
  <si>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</si>
  <si>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</si>
  <si>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</si>
  <si>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</si>
  <si>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</si>
  <si>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</si>
  <si>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</si>
  <si>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</si>
  <si>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</si>
  <si>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</si>
  <si>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</si>
  <si>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</si>
  <si>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</si>
  <si>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</si>
  <si>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</si>
  <si>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</si>
  <si>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</si>
  <si>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</si>
  <si>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</si>
  <si>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</si>
  <si>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</si>
  <si>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</si>
  <si>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</si>
  <si>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</si>
  <si>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</si>
  <si>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</si>
  <si>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</si>
  <si>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</si>
  <si>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</si>
  <si>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</si>
  <si>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</si>
  <si>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</si>
  <si>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</si>
  <si>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</si>
  <si>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</si>
  <si>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</si>
  <si>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</si>
  <si>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</si>
  <si>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</si>
  <si>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</si>
  <si>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</si>
  <si>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</si>
  <si>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</si>
  <si>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</si>
  <si>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</si>
  <si>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</si>
  <si>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</si>
  <si>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</si>
  <si>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</si>
  <si>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</si>
  <si>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</si>
  <si>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</si>
  <si>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</si>
  <si>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</si>
  <si>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</si>
  <si>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</si>
  <si>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</si>
  <si>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</si>
  <si>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</si>
  <si>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</si>
  <si>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</si>
  <si>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</si>
  <si>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</si>
  <si>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</si>
  <si>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</si>
  <si>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</si>
  <si>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</si>
  <si>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</si>
  <si>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</si>
  <si>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</si>
  <si>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</si>
  <si>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</si>
  <si>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</si>
  <si>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</si>
  <si>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</si>
  <si>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</si>
  <si>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</si>
  <si>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</si>
  <si>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</si>
  <si>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</si>
  <si>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</si>
  <si>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</si>
  <si>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</si>
  <si>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</si>
  <si>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</si>
  <si>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</si>
  <si>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</si>
  <si>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</si>
  <si>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</si>
  <si>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</si>
  <si>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</si>
  <si>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</si>
  <si>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</si>
  <si>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</si>
  <si>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</si>
  <si>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</si>
  <si>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</si>
  <si>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</si>
  <si>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</si>
  <si>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</si>
  <si>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</si>
  <si>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</si>
  <si>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</si>
  <si>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</si>
  <si>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</si>
  <si>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</si>
  <si>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</si>
  <si>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</si>
  <si>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</si>
  <si>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</si>
  <si>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</si>
  <si>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</si>
  <si>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</si>
  <si>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</si>
  <si>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</si>
  <si>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</si>
  <si>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</si>
  <si>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</si>
  <si>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</si>
  <si>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</si>
  <si>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</si>
  <si>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</si>
  <si>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</si>
  <si>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</si>
  <si>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</si>
  <si>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</si>
  <si>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</si>
  <si>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</si>
  <si>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</si>
  <si>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</si>
  <si>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</si>
  <si>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</si>
  <si>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</si>
  <si>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</si>
  <si>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</si>
  <si>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</si>
  <si>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</si>
  <si>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</si>
  <si>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</si>
  <si>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</si>
  <si>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</si>
  <si>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</si>
  <si>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</si>
  <si>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</si>
  <si>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</si>
  <si>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</si>
  <si>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</si>
  <si>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</si>
  <si>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</si>
  <si>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</si>
  <si>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</si>
  <si>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</si>
  <si>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</si>
  <si>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</si>
  <si>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</si>
  <si>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</si>
  <si>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</si>
  <si>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</si>
  <si>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</si>
  <si>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</si>
  <si>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</si>
  <si>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</si>
  <si>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</si>
  <si>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</si>
  <si>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</si>
  <si>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</si>
  <si>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</si>
  <si>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</si>
  <si>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</si>
  <si>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</si>
  <si>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</si>
  <si>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</si>
  <si>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</si>
  <si>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</si>
  <si>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</si>
  <si>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</si>
  <si>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</si>
  <si>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</si>
  <si>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</si>
  <si>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</si>
  <si>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</si>
  <si>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</si>
  <si>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</si>
  <si>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</si>
  <si>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</si>
  <si>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</si>
  <si>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</si>
  <si>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</si>
  <si>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</si>
  <si>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</si>
  <si>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</si>
  <si>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</si>
  <si>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</si>
  <si>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</si>
  <si>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</si>
  <si>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</si>
  <si>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</si>
  <si>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</si>
  <si>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</si>
  <si>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</si>
  <si>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</si>
  <si>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</si>
  <si>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</si>
  <si>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</si>
  <si>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</si>
  <si>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</si>
  <si>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</si>
  <si>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</si>
  <si>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</si>
  <si>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</si>
  <si>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</si>
  <si>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</si>
  <si>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</si>
  <si>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</si>
  <si>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</si>
  <si>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</si>
  <si>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</si>
  <si>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</si>
  <si>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</si>
  <si>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</si>
  <si>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</si>
  <si>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</si>
  <si>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</si>
  <si>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</si>
  <si>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</si>
  <si>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</si>
  <si>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</si>
  <si>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</si>
  <si>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</si>
  <si>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</si>
  <si>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</si>
  <si>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</si>
  <si>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</si>
  <si>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</si>
  <si>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</si>
  <si>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</si>
  <si>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</si>
  <si>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</si>
  <si>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</si>
  <si>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</si>
  <si>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</si>
  <si>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</si>
  <si>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</si>
  <si>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</si>
  <si>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</si>
  <si>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</si>
  <si>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</si>
  <si>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</si>
  <si>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</si>
  <si>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</si>
  <si>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</si>
  <si>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</si>
  <si>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</si>
  <si>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</si>
  <si>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</si>
  <si>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</si>
  <si>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</si>
  <si>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</si>
  <si>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</si>
  <si>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</si>
  <si>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</si>
  <si>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</si>
  <si>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</si>
  <si>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</si>
  <si>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</si>
  <si>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</si>
  <si>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</si>
  <si>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</si>
  <si>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</si>
  <si>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</si>
  <si>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</si>
  <si>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</si>
  <si>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</si>
  <si>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</si>
  <si>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</si>
  <si>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</si>
  <si>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</si>
  <si>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</si>
  <si>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</si>
  <si>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</si>
  <si>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</si>
  <si>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</si>
  <si>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</si>
  <si>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</si>
  <si>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</si>
  <si>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</si>
  <si>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</si>
  <si>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</si>
  <si>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</si>
  <si>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</si>
  <si>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</si>
  <si>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</si>
  <si>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</si>
  <si>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</si>
  <si>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</si>
  <si>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</si>
  <si>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</si>
  <si>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</si>
  <si>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</si>
  <si>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</si>
  <si>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</si>
  <si>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</si>
  <si>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</si>
  <si>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</si>
  <si>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</si>
  <si>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</si>
  <si>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</si>
  <si>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</si>
  <si>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</si>
  <si>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</si>
  <si>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</si>
  <si>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</si>
  <si>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</si>
  <si>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</si>
  <si>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</si>
  <si>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</si>
  <si>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</si>
  <si>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</si>
  <si>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</si>
  <si>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</si>
  <si>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</si>
  <si>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</si>
  <si>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</si>
  <si>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</si>
  <si>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</si>
  <si>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</si>
  <si>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</si>
  <si>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</si>
  <si>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</si>
  <si>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</si>
  <si>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</si>
  <si>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</si>
  <si>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</si>
  <si>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</si>
  <si>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</si>
  <si>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</si>
  <si>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</si>
  <si>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</si>
  <si>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</si>
  <si>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</si>
  <si>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</si>
  <si>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</si>
  <si>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</si>
  <si>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</si>
  <si>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</si>
  <si>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</si>
  <si>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</si>
  <si>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</si>
  <si>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</si>
  <si>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</si>
  <si>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</si>
  <si>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</si>
  <si>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</si>
  <si>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</si>
  <si>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</si>
  <si>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</si>
  <si>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</si>
  <si>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</si>
  <si>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</si>
  <si>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</si>
  <si>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</si>
  <si>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</si>
  <si>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</si>
  <si>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</si>
  <si>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</si>
  <si>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</si>
  <si>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</si>
  <si>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</si>
  <si>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</si>
  <si>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</si>
  <si>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</si>
  <si>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</si>
  <si>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</si>
  <si>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</si>
  <si>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</si>
  <si>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</si>
  <si>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</si>
  <si>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</si>
  <si>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</si>
  <si>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</si>
  <si>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</si>
  <si>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</si>
  <si>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</si>
  <si>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</si>
  <si>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</si>
  <si>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</si>
  <si>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</si>
  <si>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</si>
  <si>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</si>
  <si>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</si>
  <si>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</si>
  <si>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</si>
  <si>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</si>
  <si>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</si>
  <si>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</si>
  <si>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</si>
  <si>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</si>
  <si>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</si>
  <si>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</si>
  <si>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</si>
  <si>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</si>
  <si>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</si>
  <si>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</si>
  <si>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</si>
  <si>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</si>
  <si>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</si>
  <si>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</si>
  <si>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</si>
  <si>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</si>
  <si>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</si>
  <si>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</si>
  <si>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</si>
  <si>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</si>
  <si>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</si>
  <si>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</si>
  <si>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</si>
  <si>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</si>
  <si>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</si>
  <si>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</si>
  <si>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</si>
  <si>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</si>
  <si>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</si>
  <si>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</si>
  <si>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</si>
  <si>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</si>
  <si>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</si>
  <si>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</si>
  <si>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</si>
  <si>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</si>
  <si>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</si>
  <si>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</si>
  <si>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</si>
  <si>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</si>
  <si>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</si>
  <si>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</si>
  <si>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</si>
  <si>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</si>
  <si>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</si>
  <si>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</si>
  <si>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</si>
  <si>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</si>
  <si>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</si>
  <si>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</si>
  <si>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</si>
  <si>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</si>
  <si>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</si>
  <si>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</si>
  <si>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</si>
  <si>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</si>
  <si>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</si>
  <si>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</si>
  <si>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</si>
  <si>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</si>
  <si>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</si>
  <si>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</si>
  <si>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</si>
  <si>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</si>
  <si>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</si>
  <si>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</si>
  <si>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</si>
  <si>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</si>
  <si>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</si>
  <si>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</si>
  <si>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</si>
  <si>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</si>
  <si>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</si>
  <si>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</si>
  <si>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</si>
  <si>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</si>
  <si>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</si>
  <si>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</si>
  <si>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</si>
  <si>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</si>
  <si>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</si>
  <si>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</si>
  <si>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</si>
  <si>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</si>
  <si>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</si>
  <si>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</si>
  <si>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</si>
  <si>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</si>
  <si>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</si>
  <si>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</si>
  <si>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</si>
  <si>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</si>
  <si>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</si>
  <si>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</si>
  <si>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</si>
  <si>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</si>
  <si>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</si>
  <si>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</si>
  <si>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</si>
  <si>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</si>
  <si>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</si>
  <si>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</si>
  <si>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</si>
  <si>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</si>
  <si>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</si>
  <si>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</si>
  <si>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</si>
  <si>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</si>
  <si>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</si>
  <si>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</si>
  <si>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</si>
  <si>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</si>
  <si>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</si>
  <si>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</si>
  <si>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</si>
  <si>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</si>
  <si>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</si>
  <si>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</si>
  <si>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</si>
  <si>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</si>
  <si>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</si>
  <si>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</si>
  <si>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</si>
  <si>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</si>
  <si>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</si>
  <si>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</si>
  <si>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</si>
  <si>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</si>
  <si>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</si>
  <si>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</si>
  <si>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</si>
  <si>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</si>
  <si>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</si>
  <si>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</si>
  <si>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</si>
  <si>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</si>
  <si>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</si>
  <si>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</si>
  <si>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</si>
  <si>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</si>
  <si>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</si>
  <si>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</si>
  <si>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</si>
  <si>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</si>
  <si>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</si>
  <si>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</si>
  <si>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</si>
  <si>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</si>
  <si>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</si>
  <si>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</si>
  <si>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</si>
  <si>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</si>
  <si>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</si>
  <si>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</si>
  <si>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</si>
  <si>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</si>
  <si>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</si>
  <si>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</si>
  <si>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</si>
  <si>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</si>
  <si>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</si>
  <si>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</si>
  <si>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</si>
  <si>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</si>
  <si>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</si>
  <si>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</si>
  <si>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</si>
  <si>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</si>
  <si>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</si>
  <si>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</si>
  <si>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</si>
  <si>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</si>
  <si>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</si>
  <si>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</si>
  <si>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</si>
  <si>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</si>
  <si>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</si>
  <si>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</si>
  <si>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</si>
  <si>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</si>
  <si>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</si>
  <si>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</si>
  <si>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</si>
  <si>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</si>
  <si>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</si>
  <si>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</si>
  <si>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</si>
  <si>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</si>
  <si>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</si>
  <si>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</si>
  <si>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</si>
  <si>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</si>
  <si>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</si>
  <si>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</si>
  <si>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</si>
  <si>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</si>
  <si>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</si>
  <si>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</si>
  <si>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</si>
  <si>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</si>
  <si>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</si>
  <si>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</si>
  <si>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</si>
  <si>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</si>
  <si>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</si>
  <si>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</si>
  <si>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</si>
  <si>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</si>
  <si>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</si>
  <si>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</si>
  <si>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</si>
  <si>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</si>
  <si>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</si>
  <si>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</si>
  <si>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</si>
  <si>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</si>
  <si>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</si>
  <si>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</si>
  <si>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</si>
  <si>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</si>
  <si>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</si>
  <si>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</si>
  <si>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</si>
  <si>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</si>
  <si>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</si>
  <si>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</si>
  <si>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</si>
  <si>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</si>
  <si>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</si>
  <si>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</si>
  <si>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</si>
  <si>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</si>
  <si>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</si>
  <si>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</si>
  <si>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</si>
  <si>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</si>
  <si>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</si>
  <si>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</si>
  <si>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</si>
  <si>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</si>
  <si>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</si>
  <si>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</si>
  <si>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</si>
  <si>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</si>
  <si>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</si>
  <si>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</si>
  <si>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</si>
  <si>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</si>
  <si>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</si>
  <si>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</si>
  <si>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</si>
  <si>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</si>
  <si>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</si>
  <si>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</si>
  <si>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</si>
  <si>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</si>
  <si>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</si>
  <si>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</si>
  <si>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</si>
  <si>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</si>
  <si>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</si>
  <si>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</si>
  <si>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</si>
  <si>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</si>
  <si>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</si>
  <si>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</si>
  <si>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</si>
  <si>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</si>
  <si>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</si>
  <si>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</si>
  <si>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</si>
  <si>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</si>
  <si>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</si>
  <si>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</si>
  <si>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</si>
  <si>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</si>
  <si>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</si>
  <si>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</si>
  <si>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</si>
  <si>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</si>
  <si>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</si>
  <si>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</si>
  <si>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</si>
  <si>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</si>
  <si>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</si>
  <si>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</si>
  <si>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</si>
  <si>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</si>
  <si>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</si>
  <si>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</si>
  <si>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</si>
  <si>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</si>
  <si>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</si>
  <si>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</si>
  <si>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</si>
  <si>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</si>
  <si>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</si>
  <si>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</si>
  <si>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</si>
  <si>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</si>
  <si>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</si>
  <si>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</si>
  <si>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</si>
  <si>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</si>
  <si>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</si>
  <si>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</si>
  <si>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</si>
  <si>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</si>
  <si>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</si>
  <si>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</si>
  <si>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</si>
  <si>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</si>
  <si>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</si>
  <si>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</si>
  <si>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</si>
  <si>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</si>
  <si>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</si>
  <si>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</si>
  <si>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</si>
  <si>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</si>
  <si>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</si>
  <si>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</si>
  <si>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</si>
  <si>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</si>
  <si>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</si>
  <si>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</si>
  <si>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</si>
  <si>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</si>
  <si>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</si>
  <si>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</si>
  <si>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</si>
  <si>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</si>
  <si>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</si>
  <si>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</si>
  <si>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</si>
  <si>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</si>
  <si>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</si>
  <si>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</si>
  <si>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</si>
  <si>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</si>
  <si>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</si>
  <si>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</si>
  <si>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</si>
  <si>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</si>
  <si>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</si>
  <si>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</si>
  <si>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</si>
  <si>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</si>
  <si>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</si>
  <si>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</si>
  <si>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</si>
  <si>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</si>
  <si>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</si>
  <si>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</si>
  <si>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</si>
  <si>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</si>
  <si>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</si>
  <si>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</si>
  <si>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</si>
  <si>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</si>
  <si>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</si>
  <si>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</si>
  <si>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</si>
  <si>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</si>
  <si>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</si>
  <si>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</si>
  <si>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</si>
  <si>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</si>
  <si>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</si>
  <si>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</si>
  <si>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</si>
  <si>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</si>
  <si>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</si>
  <si>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</si>
  <si>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</si>
  <si>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</si>
  <si>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</si>
  <si>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</si>
  <si>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</si>
  <si>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</si>
  <si>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</si>
  <si>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</si>
  <si>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</si>
  <si>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</si>
  <si>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</si>
  <si>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</si>
  <si>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</si>
  <si>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</si>
  <si>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</si>
  <si>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</si>
  <si>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</si>
  <si>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</si>
  <si>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</si>
  <si>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</si>
  <si>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</si>
  <si>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</si>
  <si>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</si>
  <si>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</si>
  <si>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</si>
  <si>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</si>
  <si>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</si>
  <si>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</si>
  <si>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</si>
  <si>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</si>
  <si>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</si>
  <si>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</si>
  <si>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</si>
  <si>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</si>
  <si>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</si>
  <si>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</si>
  <si>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</si>
  <si>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</si>
  <si>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</si>
  <si>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</si>
  <si>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</si>
  <si>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</si>
  <si>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</si>
  <si>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</si>
  <si>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</si>
  <si>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</si>
  <si>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</si>
  <si>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</si>
  <si>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</si>
  <si>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</si>
  <si>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</si>
  <si>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</si>
  <si>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</si>
  <si>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</si>
  <si>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</si>
  <si>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</si>
  <si>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</si>
  <si>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</si>
  <si>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</si>
  <si>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</si>
  <si>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</si>
  <si>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</si>
  <si>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</si>
  <si>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</si>
  <si>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</si>
  <si>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</si>
  <si>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</si>
  <si>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</si>
  <si>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</si>
  <si>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</si>
  <si>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</si>
  <si>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</si>
  <si>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</si>
  <si>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</si>
  <si>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</si>
  <si>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</si>
  <si>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</si>
  <si>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</si>
  <si>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</si>
  <si>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</si>
  <si>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</si>
  <si>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</si>
  <si>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</si>
  <si>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</si>
  <si>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</si>
  <si>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</si>
  <si>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</si>
  <si>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</si>
  <si>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</si>
  <si>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</si>
  <si>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</si>
  <si>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</si>
  <si>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</si>
  <si>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</si>
  <si>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</si>
  <si>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</si>
  <si>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</si>
  <si>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</si>
  <si>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</si>
  <si>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</si>
  <si>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</si>
  <si>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</si>
  <si>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</si>
  <si>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</si>
  <si>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</si>
  <si>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</si>
  <si>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</si>
  <si>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</si>
  <si>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</si>
  <si>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</si>
  <si>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</si>
  <si>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</si>
  <si>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</si>
  <si>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</si>
  <si>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</si>
  <si>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</si>
  <si>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</si>
  <si>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</si>
  <si>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</si>
  <si>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</si>
  <si>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</si>
  <si>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</si>
  <si>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</si>
  <si>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</si>
  <si>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</si>
  <si>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</si>
  <si>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</si>
  <si>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</si>
  <si>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</si>
  <si>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</si>
  <si>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</si>
  <si>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</si>
  <si>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</si>
  <si>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</si>
  <si>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</si>
  <si>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</si>
  <si>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</si>
  <si>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</si>
  <si>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</si>
  <si>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</si>
  <si>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</si>
  <si>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</si>
  <si>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</si>
  <si>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</si>
  <si>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</si>
  <si>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</si>
  <si>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</si>
  <si>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</si>
  <si>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</si>
  <si>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</si>
  <si>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</si>
  <si>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</si>
  <si>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</si>
  <si>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</si>
  <si>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</si>
  <si>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</si>
  <si>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</si>
  <si>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</si>
  <si>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</si>
  <si>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</si>
  <si>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</si>
  <si>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</si>
  <si>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</si>
  <si>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</si>
  <si>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</si>
  <si>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</si>
  <si>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</si>
  <si>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</si>
  <si>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</si>
  <si>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</si>
  <si>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</si>
  <si>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</si>
  <si>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</si>
  <si>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</si>
  <si>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</si>
  <si>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</si>
  <si>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</si>
  <si>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</si>
  <si>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</si>
  <si>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</si>
  <si>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</si>
  <si>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</si>
  <si>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</si>
  <si>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</si>
  <si>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</si>
  <si>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</si>
  <si>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</si>
  <si>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</si>
  <si>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</si>
  <si>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</si>
  <si>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</si>
  <si>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</si>
  <si>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</si>
  <si>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</si>
  <si>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</si>
  <si>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</si>
  <si>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</si>
  <si>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</si>
  <si>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</si>
  <si>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</si>
  <si>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</si>
  <si>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</si>
  <si>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</si>
  <si>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</si>
  <si>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</si>
  <si>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</si>
  <si>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</si>
  <si>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</si>
  <si>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</si>
  <si>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</si>
  <si>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</si>
  <si>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</si>
  <si>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</si>
  <si>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</si>
  <si>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</si>
  <si>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</si>
  <si>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</si>
  <si>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</si>
  <si>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</si>
  <si>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</si>
  <si>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</si>
  <si>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</si>
  <si>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</si>
  <si>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</si>
  <si>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</si>
  <si>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</si>
  <si>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</si>
  <si>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</si>
  <si>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</si>
  <si>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</si>
  <si>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</si>
  <si>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</si>
  <si>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</si>
  <si>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</si>
  <si>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</si>
  <si>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</si>
  <si>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</si>
  <si>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</si>
  <si>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</si>
  <si>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</si>
  <si>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</si>
  <si>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</si>
  <si>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</si>
  <si>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</si>
  <si>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</si>
  <si>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</si>
  <si>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</si>
  <si>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</si>
  <si>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</si>
  <si>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</si>
  <si>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</si>
  <si>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</si>
  <si>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</si>
  <si>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</si>
  <si>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</si>
  <si>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</si>
  <si>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</si>
  <si>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</si>
  <si>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</si>
  <si>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</si>
  <si>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</si>
  <si>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</si>
  <si>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</si>
  <si>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</si>
  <si>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</si>
  <si>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</si>
  <si>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</si>
  <si>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</si>
  <si>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</si>
  <si>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</si>
  <si>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</si>
  <si>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</si>
  <si>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</si>
  <si>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</si>
  <si>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</si>
  <si>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</si>
  <si>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</si>
  <si>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</si>
  <si>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</si>
  <si>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</si>
  <si>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</si>
  <si>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</si>
  <si>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</si>
  <si>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</si>
  <si>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</si>
  <si>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</si>
  <si>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</si>
  <si>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</si>
  <si>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</si>
  <si>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</si>
  <si>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</si>
  <si>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</si>
  <si>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</si>
  <si>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</si>
  <si>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</si>
  <si>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</si>
  <si>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</si>
  <si>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</si>
  <si>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</si>
  <si>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</si>
  <si>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</si>
  <si>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</si>
  <si>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</si>
  <si>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</si>
  <si>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</si>
  <si>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</si>
  <si>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</si>
  <si>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</si>
  <si>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</si>
  <si>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</si>
  <si>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</si>
  <si>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</si>
  <si>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</si>
  <si>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</si>
  <si>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</si>
  <si>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</si>
  <si>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</si>
  <si>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</si>
  <si>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</si>
  <si>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</si>
  <si>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</si>
  <si>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</si>
  <si>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</si>
  <si>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</si>
  <si>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</si>
  <si>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</si>
  <si>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</si>
  <si>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</si>
  <si>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</si>
  <si>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</si>
  <si>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</si>
  <si>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</si>
  <si>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</si>
  <si>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</si>
  <si>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</si>
  <si>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</si>
  <si>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</si>
  <si>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</si>
  <si>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</si>
  <si>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</si>
  <si>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</si>
  <si>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</si>
  <si>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</si>
  <si>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</si>
  <si>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</si>
  <si>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</si>
  <si>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</si>
  <si>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</si>
  <si>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</si>
  <si>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</si>
  <si>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</si>
  <si>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</si>
  <si>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</si>
  <si>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</si>
  <si>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</si>
  <si>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</si>
  <si>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</si>
  <si>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</si>
  <si>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</si>
  <si>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</si>
  <si>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</si>
  <si>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</si>
  <si>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</si>
  <si>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</si>
  <si>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</si>
  <si>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</si>
  <si>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</si>
  <si>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</si>
  <si>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</si>
  <si>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</si>
  <si>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</si>
  <si>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</si>
  <si>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</si>
  <si>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</si>
  <si>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</si>
  <si>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</si>
  <si>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</si>
  <si>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</si>
  <si>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</si>
  <si>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</si>
  <si>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</si>
  <si>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</si>
  <si>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</si>
  <si>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</si>
  <si>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</si>
  <si>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</si>
  <si>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</si>
  <si>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</si>
  <si>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</si>
  <si>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</si>
  <si>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</si>
  <si>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</si>
  <si>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</si>
  <si>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</si>
  <si>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</si>
  <si>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</si>
  <si>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</si>
  <si>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</si>
  <si>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</si>
  <si>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</si>
  <si>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</si>
  <si>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</si>
  <si>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</si>
  <si>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</si>
  <si>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</si>
  <si>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</si>
  <si>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</si>
  <si>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</si>
  <si>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</si>
  <si>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</si>
  <si>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</si>
  <si>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</si>
  <si>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</si>
  <si>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</si>
  <si>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</si>
  <si>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</si>
  <si>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</si>
  <si>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</si>
  <si>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</si>
  <si>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</si>
  <si>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</si>
  <si>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</si>
  <si>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</si>
  <si>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</si>
  <si>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</si>
  <si>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</si>
  <si>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</si>
  <si>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</si>
  <si>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</si>
  <si>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</si>
  <si>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</si>
  <si>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</si>
  <si>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</si>
  <si>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</si>
  <si>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</si>
  <si>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</si>
  <si>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</si>
  <si>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</si>
  <si>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</si>
  <si>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</si>
  <si>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</si>
  <si>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</si>
  <si>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</si>
  <si>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</si>
  <si>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</si>
  <si>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</si>
  <si>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</si>
  <si>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</si>
  <si>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</si>
  <si>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</si>
  <si>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</si>
  <si>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</si>
  <si>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</si>
  <si>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</si>
  <si>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</si>
  <si>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</si>
  <si>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</si>
  <si>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</si>
  <si>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</si>
  <si>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</si>
  <si>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</si>
  <si>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</si>
  <si>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</si>
  <si>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</si>
  <si>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</si>
  <si>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</si>
  <si>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</si>
  <si>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</si>
  <si>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</si>
  <si>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</si>
  <si>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</si>
  <si>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</si>
  <si>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</si>
  <si>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</si>
  <si>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</si>
  <si>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</si>
  <si>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</si>
  <si>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</si>
  <si>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</si>
  <si>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</si>
  <si>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</si>
  <si>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</si>
  <si>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</si>
  <si>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</si>
  <si>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</si>
  <si>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</si>
  <si>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</si>
  <si>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</si>
  <si>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</si>
  <si>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</si>
  <si>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</si>
  <si>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</si>
  <si>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</si>
  <si>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</si>
  <si>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</si>
  <si>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</si>
  <si>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</si>
  <si>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</si>
  <si>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</si>
  <si>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</si>
  <si>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</si>
  <si>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</si>
  <si>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</si>
  <si>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</si>
  <si>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</si>
  <si>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</si>
  <si>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</si>
  <si>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</si>
  <si>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</si>
  <si>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</si>
  <si>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</si>
  <si>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</si>
  <si>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</si>
  <si>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</si>
  <si>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</si>
  <si>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</si>
  <si>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</si>
  <si>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</si>
  <si>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</si>
  <si>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</si>
  <si>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</si>
  <si>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</si>
  <si>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</si>
  <si>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</si>
  <si>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</si>
  <si>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</si>
  <si>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</si>
  <si>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</si>
  <si>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</si>
  <si>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</si>
  <si>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</si>
  <si>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</si>
  <si>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</si>
  <si>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</si>
  <si>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</si>
  <si>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</si>
  <si>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</si>
  <si>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</si>
  <si>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</si>
  <si>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</si>
  <si>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</si>
  <si>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</si>
  <si>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</si>
  <si>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</si>
  <si>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</si>
  <si>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</si>
  <si>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</si>
  <si>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</si>
  <si>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</si>
  <si>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</si>
  <si>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</si>
  <si>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</si>
  <si>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</si>
  <si>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</si>
  <si>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</si>
  <si>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</si>
  <si>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</si>
  <si>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</si>
  <si>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</si>
  <si>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</si>
  <si>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</si>
  <si>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</si>
  <si>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</si>
  <si>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</si>
  <si>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</si>
  <si>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</si>
  <si>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</si>
  <si>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</si>
  <si>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</si>
  <si>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</si>
  <si>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</si>
  <si>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</si>
  <si>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</si>
  <si>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</si>
  <si>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</si>
  <si>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</si>
  <si>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</si>
  <si>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</si>
  <si>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</si>
  <si>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</si>
  <si>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</si>
  <si>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</si>
  <si>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</si>
  <si>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</si>
  <si>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</si>
  <si>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</si>
  <si>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</si>
  <si>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</si>
  <si>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</si>
  <si>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</si>
  <si>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</si>
  <si>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</si>
  <si>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</si>
  <si>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</si>
  <si>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</si>
  <si>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</si>
  <si>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</si>
  <si>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</si>
  <si>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</si>
  <si>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</si>
  <si>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</si>
  <si>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</si>
  <si>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</si>
  <si>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</si>
  <si>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</si>
  <si>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</si>
  <si>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</si>
  <si>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</si>
  <si>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</si>
  <si>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</si>
  <si>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</si>
  <si>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</si>
  <si>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</si>
  <si>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</si>
  <si>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</si>
  <si>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</si>
  <si>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</si>
  <si>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</si>
  <si>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</si>
  <si>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</si>
  <si>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</si>
  <si>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</si>
  <si>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</si>
  <si>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</si>
  <si>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</si>
  <si>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</si>
  <si>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</si>
  <si>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</si>
  <si>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</si>
  <si>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</si>
  <si>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</si>
  <si>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</si>
  <si>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</si>
  <si>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</si>
  <si>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</si>
  <si>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</si>
  <si>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</si>
  <si>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</si>
  <si>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</si>
  <si>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</si>
  <si>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</si>
  <si>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</si>
  <si>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</si>
  <si>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</si>
  <si>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</si>
  <si>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</si>
  <si>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</si>
  <si>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</si>
  <si>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</si>
  <si>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</si>
  <si>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</si>
  <si>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</si>
  <si>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</si>
  <si>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</si>
  <si>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</si>
  <si>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</si>
  <si>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</si>
  <si>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</si>
  <si>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</si>
  <si>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</si>
  <si>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</si>
  <si>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</si>
  <si>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</si>
  <si>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</si>
  <si>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</si>
  <si>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</si>
  <si>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</si>
  <si>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</si>
  <si>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</si>
  <si>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</si>
  <si>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</si>
  <si>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</si>
  <si>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</si>
  <si>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</si>
  <si>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</si>
  <si>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</si>
  <si>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</si>
  <si>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</si>
  <si>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</si>
  <si>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</si>
  <si>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</si>
  <si>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</si>
  <si>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</si>
  <si>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</si>
  <si>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</si>
  <si>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</si>
  <si>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</si>
  <si>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</si>
  <si>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</si>
  <si>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</si>
  <si>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</si>
  <si>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</si>
  <si>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</si>
  <si>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</si>
  <si>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</si>
  <si>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</si>
  <si>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</si>
  <si>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</si>
  <si>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</si>
  <si>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</si>
  <si>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</si>
  <si>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</si>
  <si>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</si>
  <si>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</si>
  <si>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</si>
  <si>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</si>
  <si>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</si>
  <si>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</si>
  <si>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</si>
  <si>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</si>
  <si>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</si>
  <si>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</si>
  <si>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</si>
  <si>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</si>
  <si>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</si>
  <si>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</si>
  <si>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</si>
  <si>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</si>
  <si>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</si>
  <si>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</si>
  <si>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</si>
  <si>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</si>
  <si>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</si>
  <si>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</si>
  <si>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</si>
  <si>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</si>
  <si>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</si>
  <si>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</si>
  <si>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</si>
  <si>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</si>
  <si>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</si>
  <si>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</si>
  <si>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</si>
  <si>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</si>
  <si>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</si>
  <si>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</si>
  <si>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</si>
  <si>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</si>
  <si>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</si>
  <si>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</si>
  <si>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</si>
  <si>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</si>
  <si>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</si>
  <si>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</si>
  <si>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</si>
  <si>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</si>
  <si>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</si>
  <si>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</si>
  <si>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</si>
  <si>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</si>
  <si>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</si>
  <si>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</si>
  <si>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</si>
  <si>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</si>
  <si>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</si>
  <si>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</si>
  <si>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</si>
  <si>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</si>
  <si>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</si>
  <si>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</si>
  <si>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</si>
  <si>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</si>
  <si>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</si>
  <si>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</si>
  <si>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</si>
  <si>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</si>
  <si>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</si>
  <si>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</si>
  <si>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</si>
  <si>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</si>
  <si>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</si>
  <si>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</si>
  <si>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</si>
  <si>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</si>
  <si>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</si>
  <si>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</si>
  <si>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</si>
  <si>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</si>
  <si>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</si>
  <si>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</si>
  <si>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</si>
  <si>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</si>
  <si>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</si>
  <si>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</si>
  <si>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</si>
  <si>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</si>
  <si>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</si>
  <si>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</si>
  <si>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</si>
  <si>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</si>
  <si>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</si>
  <si>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</si>
  <si>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</si>
  <si>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</si>
  <si>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</si>
  <si>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</si>
  <si>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</si>
  <si>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</si>
  <si>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</si>
  <si>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</si>
  <si>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</si>
  <si>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</si>
  <si>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</si>
  <si>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</si>
  <si>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</si>
  <si>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</si>
  <si>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</si>
  <si>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</si>
  <si>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</si>
  <si>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</si>
  <si>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</si>
  <si>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</si>
  <si>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</si>
  <si>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</si>
  <si>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</si>
  <si>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</si>
  <si>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</si>
  <si>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</si>
  <si>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</si>
  <si>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</si>
  <si>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</si>
  <si>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</si>
  <si>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</si>
  <si>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</si>
  <si>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</si>
  <si>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</si>
  <si>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</si>
  <si>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</si>
  <si>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</si>
  <si>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</si>
  <si>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</si>
  <si>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</si>
  <si>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</si>
  <si>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</si>
  <si>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</si>
  <si>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</si>
  <si>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</si>
  <si>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</si>
  <si>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</si>
  <si>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</si>
  <si>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</si>
  <si>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</si>
  <si>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</si>
  <si>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</si>
  <si>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</si>
  <si>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</si>
  <si>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</si>
  <si>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</si>
  <si>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</si>
  <si>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</si>
  <si>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</si>
  <si>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</si>
  <si>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</si>
  <si>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</si>
  <si>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</si>
  <si>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</si>
  <si>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</si>
  <si>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</si>
  <si>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</si>
  <si>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</si>
  <si>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</si>
  <si>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</si>
  <si>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</si>
  <si>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</si>
  <si>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</si>
  <si>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</si>
  <si>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</si>
  <si>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</si>
  <si>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</si>
  <si>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</si>
  <si>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</si>
  <si>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</si>
  <si>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</si>
  <si>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</si>
  <si>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</si>
  <si>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</si>
  <si>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</si>
  <si>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</si>
  <si>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</si>
  <si>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</si>
  <si>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</si>
  <si>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</si>
  <si>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</si>
  <si>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</si>
  <si>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</si>
  <si>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</si>
  <si>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</si>
  <si>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</si>
  <si>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</si>
  <si>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</si>
  <si>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</si>
  <si>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</si>
  <si>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</si>
  <si>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</si>
  <si>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</si>
  <si>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</si>
  <si>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</si>
  <si>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</si>
  <si>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</si>
  <si>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</si>
  <si>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</si>
  <si>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</si>
  <si>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</si>
  <si>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</si>
  <si>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</si>
  <si>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</si>
  <si>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</si>
  <si>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</si>
  <si>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</si>
  <si>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</si>
  <si>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</si>
  <si>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</si>
  <si>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</si>
  <si>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</si>
  <si>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</si>
  <si>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</si>
  <si>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</si>
  <si>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</si>
  <si>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</si>
  <si>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</si>
  <si>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</si>
  <si>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</si>
  <si>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</si>
  <si>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</si>
  <si>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</si>
  <si>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</si>
  <si>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</si>
  <si>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</si>
  <si>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</si>
  <si>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</si>
  <si>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</si>
  <si>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</si>
  <si>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</si>
  <si>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</si>
  <si>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</si>
  <si>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</si>
  <si>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</si>
  <si>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</si>
  <si>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</si>
  <si>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</si>
  <si>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</si>
  <si>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</si>
  <si>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</si>
  <si>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</si>
  <si>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</si>
  <si>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</si>
  <si>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</si>
  <si>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</si>
  <si>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</si>
  <si>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</si>
  <si>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</si>
  <si>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</si>
  <si>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</si>
  <si>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</si>
  <si>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</si>
  <si>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</si>
  <si>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</si>
  <si>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</si>
  <si>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</si>
  <si>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</si>
  <si>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</si>
  <si>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</si>
  <si>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</si>
  <si>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</si>
  <si>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</si>
  <si>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</si>
  <si>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</si>
  <si>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</si>
  <si>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</si>
  <si>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</si>
  <si>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</si>
  <si>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</si>
  <si>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</si>
  <si>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</si>
  <si>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</si>
  <si>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</si>
  <si>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</si>
  <si>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</si>
  <si>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</si>
  <si>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</si>
  <si>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</si>
  <si>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</si>
  <si>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</si>
  <si>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</si>
  <si>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</si>
  <si>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</si>
  <si>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</si>
  <si>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</si>
  <si>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</si>
  <si>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</si>
  <si>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</si>
  <si>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</si>
  <si>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</si>
  <si>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</si>
  <si>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</si>
  <si>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</si>
  <si>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</si>
  <si>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</si>
  <si>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</si>
  <si>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</si>
  <si>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</si>
  <si>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</si>
  <si>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</si>
  <si>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</si>
  <si>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</si>
  <si>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</si>
  <si>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</si>
  <si>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</si>
  <si>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</si>
  <si>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</si>
  <si>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</si>
  <si>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</si>
  <si>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</si>
  <si>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</si>
  <si>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</si>
  <si>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</si>
  <si>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</si>
  <si>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</si>
  <si>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</si>
  <si>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</si>
  <si>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</si>
  <si>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</si>
  <si>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</si>
  <si>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</si>
  <si>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</si>
  <si>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</si>
  <si>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</si>
  <si>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</si>
  <si>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</si>
  <si>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</si>
  <si>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</si>
  <si>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</si>
  <si>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</si>
  <si>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</si>
  <si>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</si>
  <si>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</si>
  <si>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</si>
  <si>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</si>
  <si>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</si>
  <si>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</si>
  <si>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</si>
  <si>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</si>
  <si>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</si>
  <si>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</si>
  <si>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</si>
  <si>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</si>
  <si>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</si>
  <si>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</si>
  <si>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</si>
  <si>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</si>
  <si>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</si>
  <si>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</si>
  <si>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</si>
  <si>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</si>
  <si>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</si>
  <si>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</si>
  <si>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</si>
  <si>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</si>
  <si>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</si>
  <si>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</si>
  <si>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</si>
  <si>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</si>
  <si>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</si>
  <si>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</si>
  <si>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</si>
  <si>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</si>
  <si>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</si>
  <si>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</si>
  <si>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</si>
  <si>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</si>
  <si>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</si>
  <si>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</si>
  <si>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</si>
  <si>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</si>
  <si>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</si>
  <si>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</si>
  <si>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</si>
  <si>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</si>
  <si>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</si>
  <si>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</si>
  <si>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</si>
  <si>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</si>
  <si>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</si>
  <si>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</si>
  <si>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</si>
  <si>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</si>
  <si>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</si>
  <si>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</si>
  <si>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</si>
  <si>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</si>
  <si>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</si>
  <si>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</si>
  <si>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</si>
  <si>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</si>
  <si>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</si>
  <si>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</si>
  <si>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</si>
  <si>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</si>
  <si>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</si>
  <si>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</si>
  <si>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</si>
  <si>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</si>
  <si>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</si>
  <si>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</si>
  <si>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</si>
  <si>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</si>
  <si>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</si>
  <si>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</si>
  <si>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</si>
  <si>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</si>
  <si>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</si>
  <si>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</si>
  <si>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</si>
  <si>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</si>
  <si>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</si>
  <si>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</si>
  <si>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</si>
  <si>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</si>
  <si>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</si>
  <si>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</si>
  <si>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</si>
  <si>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</si>
  <si>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</si>
  <si>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</si>
  <si>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</si>
  <si>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</si>
  <si>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</si>
  <si>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</si>
  <si>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</si>
  <si>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</si>
  <si>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</si>
  <si>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</si>
  <si>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</si>
  <si>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</si>
  <si>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</si>
  <si>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</si>
  <si>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</si>
  <si>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</si>
  <si>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</si>
  <si>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</si>
  <si>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</si>
  <si>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</si>
  <si>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</si>
  <si>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</si>
  <si>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</si>
  <si>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</si>
  <si>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</si>
  <si>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</si>
  <si>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</si>
  <si>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</si>
  <si>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</si>
  <si>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</si>
  <si>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</si>
  <si>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</si>
  <si>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</si>
  <si>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</si>
  <si>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</si>
  <si>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</si>
  <si>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</si>
  <si>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</si>
  <si>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</si>
  <si>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</si>
  <si>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</si>
  <si>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</si>
  <si>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</si>
  <si>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</si>
  <si>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</si>
  <si>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</si>
  <si>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</si>
  <si>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</si>
  <si>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</si>
  <si>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</si>
  <si>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</si>
  <si>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</si>
  <si>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</si>
  <si>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</si>
  <si>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</si>
  <si>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</si>
  <si>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</si>
  <si>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</si>
  <si>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</si>
  <si>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</si>
  <si>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</si>
  <si>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</si>
  <si>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</si>
  <si>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</si>
  <si>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</si>
  <si>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</si>
  <si>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</si>
  <si>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</si>
  <si>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</si>
  <si>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</si>
  <si>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</si>
  <si>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</si>
  <si>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</si>
  <si>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</si>
  <si>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</si>
  <si>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</si>
  <si>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</si>
  <si>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</si>
  <si>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</si>
  <si>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</si>
  <si>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</si>
  <si>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</si>
  <si>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</si>
  <si>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</si>
  <si>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</si>
  <si>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</si>
  <si>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</si>
  <si>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</si>
  <si>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</si>
  <si>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</si>
  <si>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</si>
  <si>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</si>
  <si>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</si>
  <si>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</si>
  <si>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</si>
  <si>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</si>
  <si>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</si>
  <si>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</si>
  <si>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</si>
  <si>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</si>
  <si>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</si>
  <si>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</si>
  <si>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</si>
  <si>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</si>
  <si>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</si>
  <si>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</si>
  <si>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</si>
  <si>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</si>
  <si>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</si>
  <si>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</si>
  <si>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</si>
  <si>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</si>
  <si>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</si>
  <si>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</si>
  <si>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</si>
  <si>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</si>
  <si>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</si>
  <si>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</si>
  <si>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</si>
  <si>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</si>
  <si>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</si>
  <si>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</si>
  <si>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</si>
  <si>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</si>
  <si>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</si>
  <si>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</si>
  <si>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</si>
  <si>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</si>
  <si>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</si>
  <si>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</si>
  <si>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</si>
  <si>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</si>
  <si>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</si>
  <si>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</si>
  <si>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</si>
  <si>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</si>
  <si>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</si>
  <si>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</si>
  <si>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</si>
  <si>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</si>
  <si>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</si>
  <si>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</si>
  <si>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</si>
  <si>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</si>
  <si>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</si>
  <si>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</si>
  <si>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</si>
  <si>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</si>
  <si>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</si>
  <si>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</si>
  <si>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</si>
  <si>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</si>
  <si>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</si>
  <si>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</si>
  <si>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</si>
  <si>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</si>
  <si>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</si>
  <si>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</si>
  <si>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</si>
  <si>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</si>
  <si>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</si>
  <si>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</si>
  <si>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</si>
  <si>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</si>
  <si>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</si>
  <si>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</si>
  <si>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</si>
  <si>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</si>
  <si>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</si>
  <si>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</si>
  <si>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</si>
  <si>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</si>
  <si>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</si>
  <si>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</si>
  <si>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</si>
  <si>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</si>
  <si>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</si>
  <si>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</si>
  <si>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</si>
  <si>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</si>
  <si>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</si>
  <si>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</si>
  <si>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</si>
  <si>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</si>
  <si>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</si>
  <si>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</si>
  <si>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</si>
  <si>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</si>
  <si>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</si>
  <si>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</si>
  <si>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</si>
  <si>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</si>
  <si>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</si>
  <si>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</si>
  <si>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</si>
  <si>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</si>
  <si>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</si>
  <si>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</si>
  <si>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</si>
  <si>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</si>
  <si>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</si>
  <si>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</si>
  <si>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</si>
  <si>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</si>
  <si>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</si>
  <si>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</si>
  <si>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</si>
  <si>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</si>
  <si>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</si>
  <si>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</si>
  <si>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</si>
  <si>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</si>
  <si>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</si>
  <si>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</si>
  <si>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</si>
  <si>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</si>
  <si>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</si>
  <si>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</si>
  <si>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</si>
  <si>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</si>
  <si>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</si>
  <si>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</si>
  <si>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</si>
  <si>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</si>
  <si>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</si>
  <si>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</si>
  <si>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</si>
  <si>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</si>
  <si>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</si>
  <si>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</si>
  <si>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</si>
  <si>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</si>
  <si>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</si>
  <si>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</si>
  <si>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</si>
  <si>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</si>
  <si>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</si>
  <si>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</si>
  <si>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</si>
  <si>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</si>
  <si>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</si>
  <si>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</si>
  <si>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</si>
  <si>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</si>
  <si>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</si>
  <si>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</si>
  <si>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</si>
  <si>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</si>
  <si>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</si>
  <si>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</si>
  <si>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</si>
  <si>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</si>
  <si>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</si>
  <si>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</si>
  <si>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</si>
  <si>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</si>
  <si>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</si>
  <si>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</si>
  <si>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</si>
  <si>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</si>
  <si>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</si>
  <si>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</si>
  <si>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</si>
  <si>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</si>
  <si>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</si>
  <si>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</si>
  <si>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</si>
  <si>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</si>
  <si>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</si>
  <si>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</si>
  <si>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</si>
  <si>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</si>
  <si>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</si>
  <si>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</si>
  <si>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</si>
  <si>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</si>
  <si>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</si>
  <si>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</si>
  <si>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</si>
  <si>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</si>
  <si>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</si>
  <si>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</si>
  <si>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</si>
  <si>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</si>
  <si>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</si>
  <si>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</si>
  <si>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</si>
  <si>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</si>
  <si>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</si>
  <si>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</si>
  <si>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</si>
  <si>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</si>
  <si>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</si>
  <si>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</si>
  <si>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</si>
  <si>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</si>
  <si>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</si>
  <si>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</si>
  <si>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</si>
  <si>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</si>
  <si>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</si>
  <si>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</si>
  <si>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</si>
  <si>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</si>
  <si>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</si>
  <si>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</si>
  <si>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</si>
  <si>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</si>
  <si>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</si>
  <si>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</si>
  <si>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</si>
  <si>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</si>
  <si>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</si>
  <si>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</si>
  <si>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</si>
  <si>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</si>
  <si>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</si>
  <si>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</si>
  <si>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</si>
  <si>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</si>
  <si>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</si>
  <si>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</si>
  <si>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</si>
  <si>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</si>
  <si>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</si>
  <si>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</si>
  <si>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</si>
  <si>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</si>
  <si>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</si>
  <si>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</si>
  <si>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</si>
  <si>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</si>
  <si>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</si>
  <si>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</si>
  <si>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</si>
  <si>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</si>
  <si>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</si>
  <si>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</si>
  <si>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</si>
  <si>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</si>
  <si>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</si>
  <si>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</si>
  <si>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</si>
  <si>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</si>
  <si>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</si>
  <si>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</si>
  <si>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</si>
  <si>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</si>
  <si>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</si>
  <si>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</si>
  <si>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</si>
  <si>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</si>
  <si>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</si>
  <si>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</si>
  <si>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</si>
  <si>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</si>
  <si>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</si>
  <si>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</si>
  <si>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</si>
  <si>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</si>
  <si>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</si>
  <si>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</si>
  <si>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</si>
  <si>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</si>
  <si>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</si>
  <si>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</si>
  <si>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</si>
  <si>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</si>
  <si>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</si>
  <si>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</si>
  <si>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</si>
  <si>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</si>
  <si>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</si>
  <si>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</si>
  <si>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</si>
  <si>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</si>
  <si>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</si>
  <si>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</si>
  <si>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</si>
  <si>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</si>
  <si>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</si>
  <si>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</si>
  <si>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</si>
  <si>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</si>
  <si>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</si>
  <si>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</si>
  <si>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</si>
  <si>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</si>
  <si>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</si>
  <si>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</si>
  <si>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</si>
  <si>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</si>
  <si>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</si>
  <si>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</si>
  <si>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</si>
  <si>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</si>
  <si>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</si>
  <si>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</si>
  <si>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</si>
  <si>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</si>
  <si>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</si>
  <si>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</si>
  <si>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</si>
  <si>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</si>
  <si>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</si>
  <si>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</si>
  <si>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</si>
  <si>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</si>
  <si>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</si>
  <si>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</si>
  <si>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</si>
  <si>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</si>
  <si>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</si>
  <si>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</si>
  <si>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</si>
  <si>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</si>
  <si>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</si>
  <si>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</si>
  <si>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</si>
  <si>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</si>
  <si>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</si>
  <si>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</si>
  <si>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</si>
  <si>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</si>
  <si>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</si>
  <si>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</si>
  <si>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</si>
  <si>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</si>
  <si>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</si>
  <si>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</si>
  <si>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</si>
  <si>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</si>
  <si>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</si>
  <si>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</si>
  <si>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</si>
  <si>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</si>
  <si>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</si>
  <si>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</si>
  <si>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</si>
  <si>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</si>
  <si>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</si>
  <si>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</si>
  <si>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</si>
  <si>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</si>
  <si>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</si>
  <si>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</si>
  <si>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</si>
  <si>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</si>
  <si>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</si>
  <si>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</si>
  <si>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</si>
  <si>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</si>
  <si>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</si>
  <si>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</si>
  <si>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</si>
  <si>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</si>
  <si>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</si>
  <si>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</si>
  <si>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</si>
  <si>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</si>
  <si>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</si>
  <si>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</si>
  <si>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</si>
  <si>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</si>
  <si>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</si>
  <si>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</si>
  <si>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</si>
  <si>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</si>
  <si>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</si>
  <si>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</si>
  <si>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</si>
  <si>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</si>
  <si>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</si>
  <si>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</si>
  <si>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</si>
  <si>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</si>
  <si>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</si>
  <si>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</si>
  <si>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</si>
  <si>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</si>
  <si>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</si>
  <si>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</si>
  <si>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</si>
  <si>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</si>
  <si>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</si>
  <si>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</si>
  <si>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</si>
  <si>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</si>
  <si>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</si>
  <si>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</si>
  <si>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</si>
  <si>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</si>
  <si>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</si>
  <si>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</si>
  <si>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</si>
  <si>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</si>
  <si>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</si>
  <si>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</si>
  <si>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</si>
  <si>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</si>
  <si>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</si>
  <si>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</si>
  <si>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</si>
  <si>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</si>
  <si>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</si>
  <si>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</si>
  <si>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</si>
  <si>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</si>
  <si>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</si>
  <si>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</si>
  <si>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</si>
  <si>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</si>
  <si>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</si>
  <si>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</si>
  <si>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</si>
  <si>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</si>
  <si>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</si>
  <si>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</si>
  <si>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</si>
  <si>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</si>
  <si>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</si>
  <si>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</si>
  <si>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</si>
  <si>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</si>
  <si>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</si>
  <si>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</si>
  <si>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</si>
  <si>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</si>
  <si>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</si>
  <si>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</si>
  <si>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</si>
  <si>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</si>
  <si>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</si>
  <si>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</si>
  <si>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</si>
  <si>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</si>
  <si>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</si>
  <si>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</si>
  <si>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</si>
  <si>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</si>
  <si>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</si>
  <si>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</si>
  <si>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</si>
  <si>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</si>
  <si>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</si>
  <si>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</si>
  <si>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</si>
  <si>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</si>
  <si>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</si>
  <si>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</si>
  <si>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</si>
  <si>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</si>
  <si>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</si>
  <si>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</si>
  <si>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</si>
  <si>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</si>
  <si>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</si>
  <si>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</si>
  <si>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</si>
  <si>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</si>
  <si>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</si>
  <si>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</si>
  <si>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</si>
  <si>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</si>
  <si>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</si>
  <si>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</si>
  <si>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</si>
  <si>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</si>
  <si>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</si>
  <si>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</si>
  <si>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</si>
  <si>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</si>
  <si>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</si>
  <si>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</si>
  <si>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</si>
  <si>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</si>
  <si>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</si>
  <si>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</si>
  <si>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</si>
  <si>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</si>
  <si>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</si>
  <si>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</si>
  <si>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</si>
  <si>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</si>
  <si>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</si>
  <si>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</si>
  <si>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</si>
  <si>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</si>
  <si>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</si>
  <si>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</si>
  <si>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</si>
  <si>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</si>
  <si>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</si>
  <si>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</si>
  <si>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</si>
  <si>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</si>
  <si>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</si>
  <si>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</si>
  <si>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</si>
  <si>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</si>
  <si>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</si>
  <si>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</si>
  <si>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</si>
  <si>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</si>
  <si>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</si>
  <si>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</si>
  <si>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</si>
  <si>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</si>
  <si>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</si>
  <si>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</si>
  <si>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</si>
  <si>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</si>
  <si>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</si>
  <si>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</si>
  <si>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</si>
  <si>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</si>
  <si>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</si>
  <si>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</si>
  <si>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</si>
  <si>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</si>
  <si>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</si>
  <si>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</si>
  <si>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</si>
  <si>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</si>
  <si>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</si>
  <si>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</si>
  <si>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</si>
  <si>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</si>
  <si>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</si>
  <si>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</si>
  <si>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</si>
  <si>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</si>
  <si>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</si>
  <si>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</si>
  <si>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</si>
  <si>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</si>
  <si>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</si>
  <si>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</si>
  <si>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</si>
  <si>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</si>
  <si>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</si>
  <si>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</si>
  <si>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</si>
  <si>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</si>
  <si>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</si>
  <si>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</si>
  <si>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</si>
  <si>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</si>
  <si>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</si>
  <si>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</si>
  <si>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</si>
  <si>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</si>
  <si>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</si>
  <si>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</si>
  <si>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</si>
  <si>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</si>
  <si>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</si>
  <si>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</si>
  <si>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</si>
  <si>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</si>
  <si>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</si>
  <si>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</si>
  <si>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</si>
  <si>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</si>
  <si>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</si>
  <si>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</si>
  <si>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</si>
  <si>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</si>
  <si>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</si>
  <si>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</si>
  <si>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</si>
  <si>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</si>
  <si>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</si>
  <si>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</si>
  <si>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</si>
  <si>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</si>
  <si>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</si>
  <si>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</si>
  <si>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</si>
  <si>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</si>
  <si>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</si>
  <si>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</si>
  <si>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</si>
  <si>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</si>
  <si>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</si>
  <si>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</si>
  <si>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</si>
  <si>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</si>
  <si>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</si>
  <si>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</si>
  <si>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</si>
  <si>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</si>
  <si>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</si>
  <si>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</si>
  <si>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</si>
  <si>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</si>
  <si>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</si>
  <si>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</si>
  <si>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</si>
  <si>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</si>
  <si>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</si>
  <si>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</si>
  <si>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</si>
  <si>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</si>
  <si>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</si>
  <si>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</si>
  <si>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</si>
  <si>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</si>
  <si>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</si>
  <si>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</si>
  <si>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</si>
  <si>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</si>
  <si>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</si>
  <si>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</si>
  <si>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</si>
  <si>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</si>
  <si>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</si>
  <si>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</si>
  <si>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</si>
  <si>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</si>
  <si>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</si>
  <si>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</si>
  <si>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</si>
  <si>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</si>
  <si>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</si>
  <si>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</si>
  <si>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</si>
  <si>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</si>
  <si>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</si>
  <si>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</si>
  <si>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</si>
  <si>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</si>
  <si>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</si>
  <si>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</si>
  <si>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</si>
  <si>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</si>
  <si>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</si>
  <si>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</si>
  <si>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</si>
  <si>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</si>
  <si>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</si>
  <si>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</si>
  <si>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</si>
  <si>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</si>
  <si>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</si>
  <si>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</si>
  <si>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</si>
  <si>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</si>
  <si>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</si>
  <si>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</si>
  <si>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</si>
  <si>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</si>
  <si>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</si>
  <si>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</si>
  <si>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</si>
  <si>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</si>
  <si>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</si>
  <si>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</si>
  <si>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</si>
  <si>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</si>
  <si>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</si>
  <si>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</si>
  <si>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</si>
  <si>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</si>
  <si>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</si>
  <si>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</si>
  <si>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</si>
  <si>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</si>
  <si>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</si>
  <si>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</si>
  <si>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</si>
  <si>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</si>
  <si>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</si>
  <si>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</si>
  <si>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</si>
  <si>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</si>
  <si>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</si>
  <si>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</si>
  <si>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</si>
  <si>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</si>
  <si>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</si>
  <si>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</si>
  <si>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</si>
  <si>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</si>
  <si>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</si>
  <si>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</si>
  <si>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</si>
  <si>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</si>
  <si>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</si>
  <si>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</si>
  <si>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</si>
  <si>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</si>
  <si>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</si>
  <si>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</si>
  <si>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</si>
  <si>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</si>
  <si>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</si>
  <si>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</si>
  <si>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</si>
  <si>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</si>
  <si>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</si>
  <si>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</si>
  <si>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</si>
  <si>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</si>
  <si>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</si>
  <si>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</si>
  <si>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</si>
  <si>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</si>
  <si>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</si>
  <si>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</si>
  <si>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</si>
  <si>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</si>
  <si>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</si>
  <si>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</si>
  <si>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</si>
  <si>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</si>
  <si>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</si>
  <si>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</si>
  <si>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</si>
  <si>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</si>
  <si>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</si>
  <si>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</si>
  <si>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</si>
  <si>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</si>
  <si>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</si>
  <si>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</si>
  <si>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</si>
  <si>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</si>
  <si>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</si>
  <si>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</si>
  <si>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</si>
  <si>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</si>
  <si>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</si>
  <si>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</si>
  <si>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</si>
  <si>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</si>
  <si>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</si>
  <si>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</si>
  <si>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</si>
  <si>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</si>
  <si>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</si>
  <si>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</si>
  <si>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</si>
  <si>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</si>
  <si>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</si>
  <si>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</si>
  <si>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</si>
  <si>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</si>
  <si>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</si>
  <si>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</si>
  <si>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</si>
  <si>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</si>
  <si>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</si>
  <si>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</si>
  <si>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</si>
  <si>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</si>
  <si>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</si>
  <si>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</si>
  <si>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</si>
  <si>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</si>
  <si>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</si>
  <si>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</si>
  <si>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</si>
  <si>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</si>
  <si>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</si>
  <si>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</si>
  <si>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</si>
  <si>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</si>
  <si>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</si>
  <si>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</si>
  <si>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</si>
  <si>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</si>
  <si>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</si>
  <si>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</si>
  <si>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</si>
  <si>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</si>
  <si>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</si>
  <si>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</si>
  <si>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</si>
  <si>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</si>
  <si>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</si>
  <si>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</si>
  <si>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</si>
  <si>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</si>
  <si>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</si>
  <si>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</si>
  <si>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</si>
  <si>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</si>
  <si>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</si>
  <si>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</si>
  <si>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</si>
  <si>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</si>
  <si>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</si>
  <si>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</si>
  <si>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</si>
  <si>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</si>
  <si>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</si>
  <si>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</si>
  <si>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</si>
  <si>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</si>
  <si>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</si>
  <si>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</si>
  <si>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</si>
  <si>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</si>
  <si>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</si>
  <si>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</si>
  <si>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</si>
  <si>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</si>
  <si>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</si>
  <si>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</si>
  <si>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</si>
  <si>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</si>
  <si>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</si>
  <si>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</si>
  <si>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</si>
  <si>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</si>
  <si>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</si>
  <si>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</si>
  <si>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</si>
  <si>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</si>
  <si>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</si>
  <si>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</si>
  <si>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</si>
  <si>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</si>
  <si>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</si>
  <si>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</si>
  <si>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</si>
  <si>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</si>
  <si>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</si>
  <si>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</si>
  <si>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</si>
  <si>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</si>
  <si>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</si>
  <si>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</si>
  <si>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</si>
  <si>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</si>
  <si>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</si>
  <si>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</si>
  <si>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</si>
  <si>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</si>
  <si>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</si>
  <si>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</si>
  <si>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</si>
  <si>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</si>
  <si>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</si>
  <si>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</si>
  <si>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</si>
  <si>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</si>
  <si>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</si>
  <si>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</si>
  <si>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</si>
  <si>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</si>
  <si>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</si>
  <si>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</si>
  <si>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</si>
  <si>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</si>
  <si>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</si>
  <si>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</si>
  <si>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</si>
  <si>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</si>
  <si>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</si>
  <si>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</si>
  <si>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</si>
  <si>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</si>
  <si>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</si>
  <si>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</si>
  <si>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</si>
  <si>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</si>
  <si>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</si>
  <si>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</si>
  <si>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</si>
  <si>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</si>
  <si>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</si>
  <si>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</si>
  <si>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</si>
  <si>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</si>
  <si>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</si>
  <si>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</si>
  <si>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</si>
  <si>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</si>
  <si>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</si>
  <si>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</si>
  <si>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</si>
  <si>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</si>
  <si>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</si>
  <si>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</si>
  <si>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</si>
  <si>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</si>
  <si>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</si>
  <si>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</si>
  <si>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</si>
  <si>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</si>
  <si>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</si>
  <si>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</si>
  <si>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</si>
  <si>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</si>
  <si>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</si>
  <si>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</si>
  <si>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</si>
  <si>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</si>
  <si>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</si>
  <si>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</si>
  <si>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</si>
  <si>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</si>
  <si>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</si>
  <si>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</si>
  <si>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</si>
  <si>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</si>
  <si>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</si>
  <si>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</si>
  <si>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</si>
  <si>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</si>
  <si>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</si>
  <si>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</si>
  <si>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</si>
  <si>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</si>
  <si>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</si>
  <si>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</si>
  <si>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</si>
  <si>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</si>
  <si>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</si>
  <si>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</si>
  <si>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</si>
  <si>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</si>
  <si>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</si>
  <si>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</si>
  <si>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</si>
  <si>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</si>
  <si>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</si>
  <si>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</si>
  <si>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</si>
  <si>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</si>
  <si>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</si>
  <si>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</si>
  <si>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</si>
  <si>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</si>
  <si>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</si>
  <si>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</si>
  <si>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</si>
  <si>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</si>
  <si>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</si>
  <si>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</si>
  <si>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</si>
  <si>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</si>
  <si>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</si>
  <si>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</si>
  <si>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</si>
  <si>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</si>
  <si>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</si>
  <si>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</si>
  <si>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</si>
  <si>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</si>
  <si>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</si>
  <si>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</si>
  <si>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</si>
  <si>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</si>
  <si>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</si>
  <si>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</si>
  <si>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</si>
  <si>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</si>
  <si>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</si>
  <si>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</si>
  <si>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</si>
  <si>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</si>
  <si>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</si>
  <si>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</si>
  <si>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</si>
  <si>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</si>
  <si>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</si>
  <si>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</si>
  <si>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</si>
  <si>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</si>
  <si>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</si>
  <si>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</si>
  <si>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</si>
  <si>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</si>
  <si>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</si>
  <si>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</si>
  <si>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</si>
  <si>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</si>
  <si>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</si>
  <si>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</si>
  <si>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</si>
  <si>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</si>
  <si>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</si>
  <si>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</si>
  <si>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</si>
  <si>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</si>
  <si>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</si>
  <si>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</si>
  <si>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</si>
  <si>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</si>
  <si>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</si>
  <si>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</si>
  <si>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</si>
  <si>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</si>
  <si>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</si>
  <si>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</si>
  <si>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</si>
  <si>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</si>
  <si>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</si>
  <si>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</si>
  <si>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</si>
  <si>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</si>
  <si>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</si>
  <si>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</si>
  <si>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</si>
  <si>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</si>
  <si>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</si>
  <si>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</si>
  <si>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</si>
  <si>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</si>
  <si>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</si>
  <si>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</si>
  <si>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</si>
  <si>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</si>
  <si>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</si>
  <si>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</si>
  <si>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</si>
  <si>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</si>
  <si>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</si>
  <si>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</si>
  <si>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</si>
  <si>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</si>
  <si>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</si>
  <si>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</si>
  <si>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</si>
  <si>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</si>
  <si>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</si>
  <si>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</si>
  <si>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</si>
  <si>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</si>
  <si>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</si>
  <si>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</si>
  <si>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</si>
  <si>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</si>
  <si>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</si>
  <si>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</si>
  <si>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</si>
  <si>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</si>
  <si>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</si>
  <si>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</si>
  <si>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</si>
  <si>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</si>
  <si>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</si>
  <si>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</si>
  <si>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</si>
  <si>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</si>
  <si>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</si>
  <si>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</si>
  <si>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</si>
  <si>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</si>
  <si>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</si>
  <si>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</si>
  <si>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</si>
  <si>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</si>
  <si>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</si>
  <si>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</si>
  <si>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</si>
  <si>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</si>
  <si>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</si>
  <si>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</si>
  <si>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</si>
  <si>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</si>
  <si>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</si>
  <si>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</si>
  <si>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</si>
  <si>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</si>
  <si>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</si>
  <si>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</si>
  <si>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</si>
  <si>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</si>
  <si>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</si>
  <si>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</si>
  <si>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</si>
  <si>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</si>
  <si>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</si>
  <si>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</si>
  <si>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</si>
  <si>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</si>
  <si>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</si>
  <si>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</si>
  <si>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</si>
  <si>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</si>
  <si>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</si>
  <si>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</si>
  <si>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</si>
  <si>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</si>
  <si>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</si>
  <si>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</si>
  <si>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</si>
  <si>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</si>
  <si>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</si>
  <si>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</si>
  <si>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</si>
  <si>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</si>
  <si>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</si>
  <si>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</si>
  <si>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</si>
  <si>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</si>
  <si>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</si>
  <si>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</si>
  <si>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</si>
  <si>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</si>
  <si>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</si>
  <si>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</si>
  <si>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</si>
  <si>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</si>
  <si>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</si>
  <si>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</si>
  <si>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</si>
  <si>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</si>
  <si>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</si>
  <si>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</si>
  <si>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</si>
  <si>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</si>
  <si>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</si>
  <si>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</si>
  <si>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</si>
  <si>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</si>
  <si>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</si>
  <si>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</si>
  <si>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</si>
  <si>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</si>
  <si>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</si>
  <si>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</si>
  <si>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</si>
  <si>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</si>
  <si>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</si>
  <si>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</si>
  <si>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</si>
  <si>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</si>
  <si>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</si>
  <si>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</si>
  <si>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</si>
  <si>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</si>
  <si>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</si>
  <si>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</si>
  <si>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</si>
  <si>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</si>
  <si>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</si>
  <si>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</si>
  <si>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</si>
  <si>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</si>
  <si>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</si>
  <si>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</si>
  <si>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</si>
  <si>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</si>
  <si>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</si>
  <si>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</si>
  <si>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</si>
  <si>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</si>
  <si>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</si>
  <si>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</si>
  <si>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</si>
  <si>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</si>
  <si>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</si>
  <si>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</si>
  <si>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</si>
  <si>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</si>
  <si>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</si>
  <si>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</si>
  <si>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</si>
  <si>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</si>
  <si>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</si>
  <si>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</si>
  <si>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</si>
  <si>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</si>
  <si>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</si>
  <si>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</si>
  <si>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</si>
  <si>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</si>
  <si>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</si>
  <si>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</si>
  <si>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</si>
  <si>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</si>
  <si>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</si>
  <si>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</si>
  <si>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</si>
  <si>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</si>
  <si>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</si>
  <si>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</si>
  <si>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</si>
  <si>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</si>
  <si>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</si>
  <si>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</si>
  <si>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</si>
  <si>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</si>
  <si>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</si>
  <si>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</si>
  <si>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</si>
  <si>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</si>
  <si>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</si>
  <si>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</si>
  <si>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</si>
  <si>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</si>
  <si>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</si>
  <si>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</si>
  <si>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</si>
  <si>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</si>
  <si>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</si>
  <si>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</si>
  <si>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</si>
  <si>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</si>
  <si>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</si>
  <si>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</si>
  <si>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</si>
  <si>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</si>
  <si>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</si>
  <si>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</si>
  <si>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</si>
  <si>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</si>
  <si>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</si>
  <si>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</si>
  <si>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</si>
  <si>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</si>
  <si>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</si>
  <si>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</si>
  <si>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</si>
  <si>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</si>
  <si>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</si>
  <si>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</si>
  <si>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</si>
  <si>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</si>
  <si>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</si>
  <si>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</si>
  <si>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</si>
  <si>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</si>
  <si>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</si>
  <si>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</si>
  <si>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</si>
  <si>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</si>
  <si>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</si>
  <si>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</si>
  <si>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</si>
  <si>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</si>
  <si>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</si>
  <si>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</si>
  <si>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</si>
  <si>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</si>
  <si>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</si>
  <si>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</si>
  <si>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</si>
  <si>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</si>
  <si>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</si>
  <si>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</si>
  <si>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</si>
  <si>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</si>
  <si>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</si>
  <si>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</si>
  <si>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</si>
  <si>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</si>
  <si>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</si>
  <si>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</si>
  <si>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</si>
  <si>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</si>
  <si>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</si>
  <si>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</si>
  <si>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</si>
  <si>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</si>
  <si>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</si>
  <si>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</si>
  <si>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</si>
  <si>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</si>
  <si>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</si>
  <si>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</si>
  <si>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</si>
  <si>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</si>
  <si>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</si>
  <si>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</si>
  <si>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</si>
  <si>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</si>
  <si>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</si>
  <si>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</si>
  <si>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</si>
  <si>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</si>
  <si>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</si>
  <si>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</si>
  <si>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</si>
  <si>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</si>
  <si>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</si>
  <si>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</si>
  <si>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</si>
  <si>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</si>
  <si>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</si>
  <si>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</si>
  <si>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</si>
  <si>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</si>
  <si>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</si>
  <si>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</si>
  <si>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</si>
  <si>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</si>
  <si>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</si>
  <si>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</si>
  <si>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</si>
  <si>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</si>
  <si>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</si>
  <si>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</si>
  <si>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</si>
  <si>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</si>
  <si>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</si>
  <si>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</si>
  <si>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</si>
  <si>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</si>
  <si>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</si>
  <si>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</si>
  <si>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</si>
  <si>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</si>
  <si>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</si>
  <si>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</si>
  <si>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</si>
  <si>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</si>
  <si>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</si>
  <si>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</si>
  <si>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</si>
  <si>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</si>
  <si>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</si>
  <si>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</si>
  <si>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</si>
  <si>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</si>
  <si>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</si>
  <si>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</si>
  <si>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</si>
  <si>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</si>
  <si>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</si>
  <si>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</si>
  <si>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</si>
  <si>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</si>
  <si>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</si>
  <si>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</si>
  <si>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</si>
  <si>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</si>
  <si>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</si>
  <si>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</si>
  <si>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</si>
  <si>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</si>
  <si>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</si>
  <si>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</si>
  <si>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</si>
  <si>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</si>
  <si>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</si>
  <si>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</si>
  <si>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</si>
  <si>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</si>
  <si>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</si>
  <si>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</si>
  <si>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</si>
  <si>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</si>
  <si>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</si>
  <si>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</si>
  <si>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</si>
  <si>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</si>
  <si>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</si>
  <si>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</si>
  <si>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</si>
  <si>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</si>
  <si>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</si>
  <si>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</si>
  <si>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</si>
  <si>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</si>
  <si>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</si>
  <si>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</si>
  <si>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</si>
  <si>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</si>
  <si>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</si>
  <si>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</si>
  <si>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</si>
  <si>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</si>
  <si>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</si>
  <si>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</si>
  <si>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</si>
  <si>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</si>
  <si>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</si>
  <si>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</si>
  <si>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</si>
  <si>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</si>
  <si>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</si>
  <si>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</si>
  <si>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</si>
  <si>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</si>
  <si>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</si>
  <si>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</si>
  <si>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</si>
  <si>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</si>
  <si>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</si>
  <si>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</si>
  <si>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</si>
  <si>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</si>
  <si>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</si>
  <si>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</si>
  <si>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</si>
  <si>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</si>
  <si>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</si>
  <si>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</si>
  <si>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</si>
  <si>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</si>
  <si>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</si>
  <si>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</si>
  <si>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</si>
  <si>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</si>
  <si>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</si>
  <si>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</si>
  <si>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</si>
  <si>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</si>
  <si>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</si>
  <si>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</si>
  <si>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</si>
  <si>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</si>
  <si>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</si>
  <si>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</si>
  <si>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</si>
  <si>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</si>
  <si>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</si>
  <si>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</si>
  <si>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</si>
  <si>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</si>
  <si>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</si>
  <si>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</si>
  <si>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</si>
  <si>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</si>
  <si>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</si>
  <si>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</si>
  <si>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</si>
  <si>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</si>
  <si>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</si>
  <si>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</si>
  <si>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</si>
  <si>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</si>
  <si>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</si>
  <si>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</si>
  <si>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</si>
  <si>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</si>
  <si>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</si>
  <si>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</si>
  <si>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</si>
  <si>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</si>
  <si>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</si>
  <si>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</si>
  <si>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</si>
  <si>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</si>
  <si>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</si>
  <si>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</si>
  <si>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</si>
  <si>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</si>
  <si>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</si>
  <si>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</si>
  <si>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</si>
  <si>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</si>
  <si>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</si>
  <si>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</si>
  <si>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</si>
  <si>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</si>
  <si>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</si>
  <si>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</si>
  <si>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</si>
  <si>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</si>
  <si>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</si>
  <si>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</si>
  <si>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</si>
  <si>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</si>
  <si>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</si>
  <si>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</si>
  <si>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</si>
  <si>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</si>
  <si>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</si>
  <si>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</si>
  <si>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</si>
  <si>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</si>
  <si>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</si>
  <si>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</si>
  <si>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</si>
  <si>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</si>
  <si>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</si>
  <si>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</si>
  <si>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</si>
  <si>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</si>
  <si>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</si>
  <si>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</si>
  <si>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</si>
  <si>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</si>
  <si>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</si>
  <si>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</si>
  <si>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</si>
  <si>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</si>
  <si>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</si>
  <si>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</si>
  <si>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</si>
  <si>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</si>
  <si>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</si>
  <si>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</si>
  <si>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</si>
  <si>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</si>
  <si>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</si>
  <si>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</si>
  <si>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</si>
  <si>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</si>
  <si>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</si>
  <si>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</si>
  <si>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</si>
  <si>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</si>
  <si>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</si>
  <si>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</si>
  <si>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</si>
  <si>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</si>
  <si>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</si>
  <si>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</si>
  <si>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</si>
  <si>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</si>
  <si>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</si>
  <si>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</si>
  <si>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</si>
  <si>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</si>
  <si>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</si>
  <si>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</si>
  <si>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</si>
  <si>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</si>
  <si>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</si>
  <si>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</si>
  <si>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</si>
  <si>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</si>
  <si>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</si>
  <si>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</si>
  <si>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</si>
  <si>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</si>
  <si>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</si>
  <si>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</si>
  <si>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</si>
  <si>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</si>
  <si>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</si>
  <si>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</si>
  <si>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</si>
  <si>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</si>
  <si>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</si>
  <si>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</si>
  <si>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</si>
  <si>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</si>
  <si>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</si>
  <si>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</si>
  <si>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</si>
  <si>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</si>
  <si>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</si>
  <si>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</si>
  <si>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</si>
  <si>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</si>
  <si>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</si>
  <si>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</si>
  <si>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</si>
  <si>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</si>
  <si>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</si>
  <si>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</si>
  <si>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</si>
  <si>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</si>
  <si>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</si>
  <si>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</si>
  <si>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</si>
  <si>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</si>
  <si>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</si>
  <si>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</si>
  <si>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</si>
  <si>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</si>
  <si>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</si>
  <si>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</si>
  <si>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</si>
  <si>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</si>
  <si>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</si>
  <si>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</si>
  <si>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</si>
  <si>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</si>
  <si>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</si>
  <si>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</si>
  <si>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</si>
  <si>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</si>
  <si>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</si>
  <si>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</si>
  <si>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</si>
  <si>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</si>
  <si>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</si>
  <si>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</si>
  <si>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</si>
  <si>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</si>
  <si>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</si>
  <si>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</si>
  <si>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</si>
  <si>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</si>
  <si>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</si>
  <si>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</si>
  <si>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</si>
  <si>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</si>
  <si>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</si>
  <si>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</si>
  <si>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</si>
  <si>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</si>
  <si>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</si>
  <si>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</si>
  <si>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</si>
  <si>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</si>
  <si>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</si>
  <si>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</si>
  <si>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</si>
  <si>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</si>
  <si>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</si>
  <si>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</si>
  <si>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</si>
  <si>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</si>
  <si>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</si>
  <si>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</si>
  <si>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</si>
  <si>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</si>
  <si>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</si>
  <si>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</si>
  <si>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</si>
  <si>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</si>
  <si>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</si>
  <si>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</si>
  <si>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</si>
  <si>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</si>
  <si>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</si>
  <si>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</si>
  <si>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</si>
  <si>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</si>
  <si>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</si>
  <si>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</si>
  <si>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</si>
  <si>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</si>
  <si>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</si>
  <si>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</si>
  <si>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</si>
  <si>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</si>
  <si>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</si>
  <si>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</si>
  <si>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</si>
  <si>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</si>
  <si>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</si>
  <si>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</si>
  <si>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</si>
  <si>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</si>
  <si>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</si>
  <si>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</si>
  <si>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</si>
  <si>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</si>
  <si>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</si>
  <si>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</si>
  <si>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</si>
  <si>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</si>
  <si>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</si>
  <si>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</si>
  <si>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</si>
  <si>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</si>
  <si>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</si>
  <si>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</si>
  <si>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</si>
  <si>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</si>
  <si>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</si>
  <si>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</si>
  <si>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</si>
  <si>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</si>
  <si>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</si>
  <si>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</si>
  <si>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</si>
  <si>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</si>
  <si>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</si>
  <si>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</si>
  <si>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</si>
  <si>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</si>
  <si>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</si>
  <si>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</si>
  <si>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</si>
  <si>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</si>
  <si>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</si>
  <si>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</si>
  <si>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</si>
  <si>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</si>
  <si>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</si>
  <si>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</si>
  <si>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</si>
  <si>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</si>
  <si>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</si>
  <si>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</si>
  <si>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</si>
  <si>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</si>
  <si>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</si>
  <si>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</si>
  <si>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</si>
  <si>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</si>
  <si>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</si>
  <si>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</si>
  <si>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</si>
  <si>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</si>
  <si>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</si>
  <si>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</si>
  <si>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</si>
  <si>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</si>
  <si>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</si>
  <si>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</si>
  <si>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</si>
  <si>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</si>
  <si>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</si>
  <si>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</si>
  <si>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</si>
  <si>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</si>
  <si>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</si>
  <si>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</si>
  <si>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</si>
  <si>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</si>
  <si>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</si>
  <si>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</si>
  <si>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</si>
  <si>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</si>
  <si>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</si>
  <si>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</si>
  <si>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</si>
  <si>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</si>
  <si>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</si>
  <si>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</si>
  <si>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</si>
  <si>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</si>
  <si>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</si>
  <si>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</si>
  <si>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</si>
  <si>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</si>
  <si>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</si>
  <si>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</si>
  <si>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</si>
  <si>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</si>
  <si>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</si>
  <si>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</si>
  <si>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</si>
  <si>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</si>
  <si>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</si>
  <si>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</si>
  <si>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</si>
  <si>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</si>
  <si>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</si>
  <si>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</si>
  <si>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</si>
  <si>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</si>
  <si>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</si>
  <si>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</si>
  <si>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</si>
  <si>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</si>
  <si>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</si>
  <si>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</si>
  <si>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</si>
  <si>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</si>
  <si>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</si>
  <si>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</si>
  <si>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</si>
  <si>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</si>
  <si>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</si>
  <si>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</si>
  <si>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</si>
  <si>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</si>
  <si>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</si>
  <si>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</si>
  <si>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</si>
  <si>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</si>
  <si>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</si>
  <si>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</si>
  <si>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</si>
  <si>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</si>
  <si>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</si>
  <si>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</si>
  <si>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</si>
  <si>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</si>
  <si>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</si>
  <si>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</si>
  <si>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</si>
  <si>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</si>
  <si>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</si>
  <si>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</si>
  <si>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</si>
  <si>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</si>
  <si>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</si>
  <si>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</si>
  <si>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</si>
  <si>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</si>
  <si>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</si>
  <si>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</si>
  <si>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</si>
  <si>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</si>
  <si>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</si>
  <si>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</si>
  <si>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</si>
  <si>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</si>
  <si>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</si>
  <si>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</si>
  <si>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</si>
  <si>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</si>
  <si>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</si>
  <si>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</si>
  <si>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</si>
  <si>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</si>
  <si>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</si>
  <si>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</si>
  <si>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</si>
  <si>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</si>
  <si>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</si>
  <si>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</si>
  <si>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</si>
  <si>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</si>
  <si>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</si>
  <si>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</si>
  <si>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</si>
  <si>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</si>
  <si>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</si>
  <si>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</si>
  <si>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</si>
  <si>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</si>
  <si>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</si>
  <si>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</si>
  <si>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</si>
  <si>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</si>
  <si>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</si>
  <si>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</si>
  <si>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</si>
  <si>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</si>
  <si>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</si>
  <si>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</si>
  <si>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</si>
  <si>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</si>
  <si>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</si>
  <si>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</si>
  <si>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</si>
  <si>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</si>
  <si>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</si>
  <si>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</si>
  <si>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</si>
  <si>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</si>
  <si>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</si>
  <si>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</si>
  <si>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</si>
  <si>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</si>
  <si>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</si>
  <si>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</si>
  <si>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</si>
  <si>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</si>
  <si>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</si>
  <si>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</si>
  <si>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</si>
  <si>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</si>
  <si>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</si>
  <si>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</si>
  <si>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</si>
  <si>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</si>
  <si>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</si>
  <si>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</si>
  <si>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</si>
  <si>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</si>
  <si>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</si>
  <si>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</si>
  <si>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</si>
  <si>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</si>
  <si>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</si>
  <si>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</si>
  <si>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</si>
  <si>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</si>
  <si>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</si>
  <si>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</si>
  <si>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</si>
  <si>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</si>
  <si>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</si>
  <si>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</si>
  <si>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</si>
  <si>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</si>
  <si>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</si>
  <si>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</si>
  <si>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</si>
  <si>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</si>
  <si>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</si>
  <si>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</si>
  <si>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</si>
  <si>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</si>
  <si>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</si>
  <si>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</si>
  <si>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</si>
  <si>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</si>
  <si>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</si>
  <si>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</si>
  <si>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</si>
  <si>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</si>
  <si>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</si>
  <si>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</si>
  <si>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</si>
  <si>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</si>
  <si>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</si>
  <si>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</si>
  <si>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</si>
  <si>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</si>
  <si>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</si>
  <si>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</si>
  <si>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</si>
  <si>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</si>
  <si>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</si>
  <si>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</si>
  <si>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</si>
  <si>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</si>
  <si>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</si>
  <si>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</si>
  <si>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</si>
  <si>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</si>
  <si>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</si>
  <si>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</si>
  <si>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</si>
  <si>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</si>
  <si>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</si>
  <si>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</si>
  <si>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</si>
  <si>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</si>
  <si>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</si>
  <si>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</si>
  <si>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</si>
  <si>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</si>
  <si>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</si>
  <si>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</si>
  <si>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</si>
  <si>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</si>
  <si>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</si>
  <si>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</si>
  <si>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</si>
  <si>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</si>
  <si>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</si>
  <si>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</si>
  <si>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</si>
  <si>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</si>
  <si>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</si>
  <si>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</si>
  <si>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</si>
  <si>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</si>
  <si>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</si>
  <si>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</si>
  <si>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</si>
  <si>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</si>
  <si>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</si>
  <si>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</si>
  <si>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</si>
  <si>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</si>
  <si>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</si>
  <si>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</si>
  <si>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</si>
  <si>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</si>
  <si>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</si>
  <si>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</si>
  <si>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</si>
  <si>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</si>
  <si>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</si>
  <si>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</si>
  <si>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</si>
  <si>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</si>
  <si>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</si>
  <si>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</si>
  <si>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</si>
  <si>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</si>
  <si>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</si>
  <si>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</si>
  <si>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</si>
  <si>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</si>
  <si>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</si>
  <si>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</si>
  <si>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</si>
  <si>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</si>
  <si>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</si>
  <si>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</si>
  <si>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</si>
  <si>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</si>
  <si>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</si>
  <si>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</si>
  <si>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</si>
  <si>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</si>
  <si>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</si>
  <si>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</si>
  <si>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</si>
  <si>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</si>
  <si>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</si>
  <si>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</si>
  <si>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</si>
  <si>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</si>
  <si>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</si>
  <si>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</si>
  <si>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</si>
  <si>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</si>
  <si>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</si>
  <si>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</si>
  <si>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</si>
  <si>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</si>
  <si>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</si>
  <si>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</si>
  <si>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</si>
  <si>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</si>
  <si>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</si>
  <si>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</si>
  <si>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</si>
  <si>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</si>
  <si>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</si>
  <si>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</si>
  <si>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</si>
  <si>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</si>
  <si>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</si>
  <si>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</si>
  <si>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</si>
  <si>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</si>
  <si>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</si>
  <si>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</si>
  <si>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</si>
  <si>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</si>
  <si>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</si>
  <si>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</si>
  <si>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</si>
  <si>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</si>
  <si>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</si>
  <si>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</si>
  <si>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</si>
  <si>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</si>
  <si>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</si>
  <si>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</si>
  <si>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</si>
  <si>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</si>
  <si>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</si>
  <si>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</si>
  <si>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</si>
  <si>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</si>
  <si>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</si>
  <si>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</si>
  <si>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</si>
  <si>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</si>
  <si>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</si>
  <si>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</si>
  <si>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</si>
  <si>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</si>
  <si>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</si>
  <si>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</si>
  <si>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</si>
  <si>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</si>
  <si>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</si>
  <si>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</si>
  <si>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</si>
  <si>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</si>
  <si>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</si>
  <si>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</si>
  <si>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</si>
  <si>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</si>
  <si>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</si>
  <si>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</si>
  <si>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</si>
  <si>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</si>
  <si>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</si>
  <si>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</si>
  <si>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</si>
  <si>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</si>
  <si>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</si>
  <si>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</si>
  <si>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</si>
  <si>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</si>
  <si>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</si>
  <si>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</si>
  <si>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</si>
  <si>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</si>
  <si>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</si>
  <si>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</si>
  <si>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</si>
  <si>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</si>
  <si>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</si>
  <si>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</si>
  <si>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</si>
  <si>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</si>
  <si>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</si>
  <si>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</si>
  <si>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</si>
  <si>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</si>
  <si>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</si>
  <si>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</si>
  <si>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</si>
  <si>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</si>
  <si>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</si>
  <si>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</si>
  <si>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</si>
  <si>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</si>
  <si>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</si>
  <si>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</si>
  <si>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</si>
  <si>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</si>
  <si>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</si>
  <si>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</si>
  <si>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</si>
  <si>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</si>
  <si>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</si>
  <si>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</si>
  <si>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</si>
  <si>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</si>
  <si>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</si>
  <si>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</si>
  <si>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</si>
  <si>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</si>
  <si>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</si>
  <si>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</si>
  <si>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</si>
  <si>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</si>
  <si>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</si>
  <si>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</si>
  <si>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</si>
  <si>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</si>
  <si>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</si>
  <si>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</si>
  <si>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</si>
  <si>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</si>
  <si>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</si>
  <si>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</si>
  <si>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</si>
  <si>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</si>
  <si>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</si>
  <si>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</si>
  <si>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</si>
  <si>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</si>
  <si>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</si>
  <si>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</si>
  <si>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</si>
  <si>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</si>
  <si>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</si>
  <si>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</si>
  <si>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</si>
  <si>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</si>
  <si>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</si>
  <si>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</si>
  <si>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</si>
  <si>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</si>
  <si>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</si>
  <si>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</si>
  <si>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</si>
  <si>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</si>
  <si>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</si>
  <si>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</si>
  <si>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</si>
  <si>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</si>
  <si>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</si>
  <si>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</si>
  <si>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</si>
  <si>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</si>
  <si>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</si>
  <si>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</si>
  <si>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</si>
  <si>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</si>
  <si>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</si>
  <si>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</si>
  <si>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</si>
  <si>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</si>
  <si>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</si>
  <si>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</si>
  <si>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</si>
  <si>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</si>
  <si>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</si>
  <si>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</si>
  <si>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</si>
  <si>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</si>
  <si>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</si>
  <si>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</si>
  <si>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</si>
  <si>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</si>
  <si>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</si>
  <si>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</si>
  <si>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</si>
  <si>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</si>
  <si>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</si>
  <si>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</si>
  <si>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</si>
  <si>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</si>
  <si>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</si>
  <si>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</si>
  <si>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</si>
  <si>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</si>
  <si>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</si>
  <si>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</si>
  <si>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</si>
  <si>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</si>
  <si>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</si>
  <si>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</si>
  <si>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</si>
  <si>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</si>
  <si>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</si>
  <si>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</si>
  <si>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</si>
  <si>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</si>
  <si>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</si>
  <si>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</si>
  <si>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</si>
  <si>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</si>
  <si>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</si>
  <si>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</si>
  <si>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</si>
  <si>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</si>
  <si>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</si>
  <si>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</si>
  <si>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</si>
  <si>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</si>
  <si>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</si>
  <si>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</si>
  <si>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</si>
  <si>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</si>
  <si>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</si>
  <si>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</si>
  <si>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</si>
  <si>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</si>
  <si>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</si>
  <si>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</si>
  <si>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</si>
  <si>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</si>
  <si>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</si>
  <si>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</si>
  <si>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</si>
  <si>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</si>
  <si>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</si>
  <si>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</si>
  <si>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</si>
  <si>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</si>
  <si>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</si>
  <si>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</si>
  <si>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</si>
  <si>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</si>
  <si>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</si>
  <si>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</si>
  <si>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</si>
  <si>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</si>
  <si>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</si>
  <si>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</si>
  <si>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</si>
  <si>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</si>
  <si>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</si>
  <si>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</si>
  <si>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</si>
  <si>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</si>
  <si>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</si>
  <si>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</si>
  <si>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</si>
  <si>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</si>
  <si>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</si>
  <si>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</si>
  <si>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</si>
  <si>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</si>
  <si>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</si>
  <si>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</si>
  <si>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</si>
  <si>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</si>
  <si>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</si>
  <si>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</si>
  <si>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</si>
  <si>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</si>
  <si>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</si>
  <si>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</si>
  <si>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</si>
  <si>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</si>
  <si>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</si>
  <si>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</si>
  <si>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</si>
  <si>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</si>
  <si>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</si>
  <si>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</si>
  <si>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</si>
  <si>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</si>
  <si>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</si>
  <si>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</si>
  <si>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</si>
  <si>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</si>
  <si>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</si>
  <si>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</si>
  <si>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</si>
  <si>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</si>
  <si>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</si>
  <si>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</si>
  <si>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</si>
  <si>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</si>
  <si>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</si>
  <si>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</si>
  <si>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</si>
  <si>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</si>
  <si>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</si>
  <si>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</si>
  <si>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</si>
  <si>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</si>
  <si>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</si>
  <si>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</si>
  <si>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</si>
  <si>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</si>
  <si>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</si>
  <si>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</si>
  <si>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</si>
  <si>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</si>
  <si>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</si>
  <si>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</si>
  <si>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</si>
  <si>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</si>
  <si>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</si>
  <si>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</si>
  <si>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</si>
  <si>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</si>
  <si>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</si>
  <si>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</si>
  <si>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</si>
  <si>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</si>
  <si>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</si>
  <si>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</si>
  <si>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</si>
  <si>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</si>
  <si>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</si>
  <si>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</si>
  <si>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</si>
  <si>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</si>
  <si>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</si>
  <si>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</si>
  <si>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</si>
  <si>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</si>
  <si>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</si>
  <si>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</si>
  <si>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</si>
  <si>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</si>
  <si>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</si>
  <si>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</si>
  <si>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</si>
  <si>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</si>
  <si>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</si>
  <si>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</si>
  <si>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</si>
  <si>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</si>
  <si>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</si>
  <si>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</si>
  <si>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</si>
  <si>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</si>
  <si>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</si>
  <si>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</si>
  <si>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</si>
  <si>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</si>
  <si>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</si>
  <si>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</si>
  <si>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</si>
  <si>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</si>
  <si>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</si>
  <si>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</si>
  <si>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</si>
  <si>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</si>
  <si>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</si>
  <si>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</si>
  <si>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</si>
  <si>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</si>
  <si>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</si>
  <si>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</si>
  <si>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</si>
  <si>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</si>
  <si>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</si>
  <si>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</si>
  <si>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</si>
  <si>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</si>
  <si>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</si>
  <si>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</si>
  <si>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</si>
  <si>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</si>
  <si>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</si>
  <si>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</si>
  <si>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</si>
  <si>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</si>
  <si>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</si>
  <si>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</si>
  <si>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</si>
  <si>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</si>
  <si>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</si>
  <si>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</si>
  <si>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</si>
  <si>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</si>
  <si>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</si>
  <si>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</si>
  <si>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</si>
  <si>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</si>
  <si>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</si>
  <si>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</si>
  <si>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</si>
  <si>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</si>
  <si>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</si>
  <si>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</si>
  <si>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</si>
  <si>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</si>
  <si>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</si>
  <si>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</si>
  <si>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</si>
  <si>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</si>
  <si>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</si>
  <si>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</si>
  <si>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</si>
  <si>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</si>
  <si>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</si>
  <si>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</si>
  <si>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</si>
  <si>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</si>
  <si>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</si>
  <si>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</si>
  <si>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</si>
  <si>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</si>
  <si>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</si>
  <si>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</si>
  <si>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</si>
  <si>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</si>
  <si>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</si>
  <si>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</si>
  <si>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</si>
  <si>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</si>
  <si>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</si>
  <si>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</si>
  <si>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</si>
  <si>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</si>
  <si>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</si>
  <si>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</si>
  <si>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</si>
  <si>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</si>
  <si>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</si>
  <si>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</si>
  <si>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</si>
  <si>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</si>
  <si>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</si>
  <si>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</si>
  <si>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</si>
  <si>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</si>
  <si>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</si>
  <si>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</si>
  <si>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</si>
  <si>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</si>
  <si>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</si>
  <si>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</si>
  <si>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</si>
  <si>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</si>
  <si>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</si>
  <si>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</si>
  <si>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</si>
  <si>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</si>
  <si>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</si>
  <si>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</si>
  <si>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</si>
  <si>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</si>
  <si>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</si>
  <si>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</si>
  <si>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</si>
  <si>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</si>
  <si>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</si>
  <si>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</si>
  <si>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</si>
  <si>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</si>
  <si>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</si>
  <si>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</si>
  <si>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</si>
  <si>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</si>
  <si>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</si>
  <si>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</si>
  <si>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</si>
  <si>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</si>
  <si>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</si>
  <si>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</si>
  <si>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</si>
  <si>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</si>
  <si>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</si>
  <si>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</si>
  <si>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</si>
  <si>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</si>
  <si>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</si>
  <si>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</si>
  <si>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</si>
  <si>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</si>
  <si>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</si>
  <si>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</si>
  <si>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</si>
  <si>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</si>
  <si>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</si>
  <si>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</si>
  <si>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</si>
  <si>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</si>
  <si>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</si>
  <si>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</si>
  <si>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</si>
  <si>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</si>
  <si>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</si>
  <si>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</si>
  <si>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</si>
  <si>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</si>
  <si>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</si>
  <si>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</si>
  <si>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</si>
  <si>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</si>
  <si>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</si>
  <si>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</si>
  <si>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</si>
  <si>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</si>
  <si>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</si>
  <si>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</si>
  <si>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</si>
  <si>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</si>
  <si>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</si>
  <si>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</si>
  <si>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</si>
  <si>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</si>
  <si>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</si>
  <si>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</si>
  <si>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</si>
  <si>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</si>
  <si>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</si>
  <si>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</si>
  <si>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</si>
  <si>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</si>
  <si>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</si>
  <si>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</si>
  <si>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</si>
  <si>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</si>
  <si>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</si>
  <si>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</si>
  <si>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</si>
  <si>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</si>
  <si>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</si>
  <si>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</si>
  <si>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</si>
  <si>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</si>
  <si>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</si>
  <si>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</si>
  <si>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</si>
  <si>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</si>
  <si>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</si>
  <si>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</si>
  <si>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</si>
  <si>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</si>
  <si>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</si>
  <si>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</si>
  <si>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</si>
  <si>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</si>
  <si>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</si>
  <si>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</si>
  <si>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</si>
  <si>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</si>
  <si>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</si>
  <si>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</si>
  <si>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</si>
  <si>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</si>
  <si>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</si>
  <si>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</si>
  <si>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</si>
  <si>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</si>
  <si>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</si>
  <si>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</si>
  <si>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</si>
  <si>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</si>
  <si>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</si>
  <si>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</si>
  <si>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</si>
  <si>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</si>
  <si>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</si>
  <si>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</si>
  <si>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</si>
  <si>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</si>
  <si>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</si>
  <si>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</si>
  <si>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</si>
  <si>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</si>
  <si>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</si>
  <si>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</si>
  <si>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</si>
  <si>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</si>
  <si>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</si>
  <si>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</si>
  <si>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</si>
  <si>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</si>
  <si>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</si>
  <si>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</si>
  <si>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</si>
  <si>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</si>
  <si>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</si>
  <si>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</si>
  <si>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</si>
  <si>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</si>
  <si>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</si>
  <si>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</si>
  <si>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</si>
  <si>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</si>
  <si>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</si>
  <si>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</si>
  <si>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</si>
  <si>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</si>
  <si>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</si>
  <si>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</si>
  <si>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</si>
  <si>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</si>
  <si>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</si>
  <si>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</si>
  <si>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</si>
  <si>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</si>
  <si>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</si>
  <si>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</si>
  <si>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</si>
  <si>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</si>
  <si>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</si>
  <si>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</si>
  <si>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</si>
  <si>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</si>
  <si>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</si>
  <si>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</si>
  <si>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</si>
  <si>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</si>
  <si>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</si>
  <si>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</si>
  <si>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</si>
  <si>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</si>
  <si>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</si>
  <si>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</si>
  <si>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</si>
  <si>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</si>
  <si>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</si>
  <si>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</si>
  <si>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</si>
  <si>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</si>
  <si>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</si>
  <si>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</si>
  <si>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</si>
  <si>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</si>
  <si>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</si>
  <si>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</si>
  <si>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</si>
  <si>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</si>
  <si>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</si>
  <si>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</si>
  <si>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</si>
  <si>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</si>
  <si>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</si>
  <si>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</si>
  <si>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</si>
  <si>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</si>
  <si>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</si>
  <si>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</si>
  <si>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</si>
  <si>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</si>
  <si>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</si>
  <si>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</si>
  <si>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</si>
  <si>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</si>
  <si>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</si>
  <si>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</si>
  <si>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</si>
  <si>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</si>
  <si>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</si>
  <si>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</si>
  <si>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</si>
  <si>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</si>
  <si>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</si>
  <si>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</si>
  <si>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</si>
  <si>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</si>
  <si>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</si>
  <si>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</si>
  <si>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</si>
  <si>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</si>
  <si>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</si>
  <si>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</si>
  <si>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</si>
  <si>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</si>
  <si>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</si>
  <si>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</si>
  <si>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</si>
  <si>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</si>
  <si>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</si>
  <si>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</si>
  <si>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</si>
  <si>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</si>
  <si>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</si>
  <si>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</si>
  <si>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</si>
  <si>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</si>
  <si>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</si>
  <si>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</si>
  <si>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</si>
  <si>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</si>
  <si>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</si>
  <si>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</si>
  <si>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</si>
  <si>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</si>
  <si>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</si>
  <si>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</si>
  <si>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</si>
  <si>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</si>
  <si>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</si>
  <si>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</si>
  <si>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</si>
  <si>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</si>
  <si>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</si>
  <si>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</si>
  <si>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</si>
  <si>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</si>
  <si>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</si>
  <si>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</si>
  <si>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</si>
  <si>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</si>
  <si>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</si>
  <si>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</si>
  <si>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</si>
  <si>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</si>
  <si>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</si>
  <si>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</si>
  <si>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</si>
  <si>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</si>
  <si>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</si>
  <si>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</si>
  <si>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</si>
  <si>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</si>
  <si>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</si>
  <si>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</si>
  <si>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</si>
  <si>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</si>
  <si>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</si>
  <si>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</si>
  <si>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</si>
  <si>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</si>
  <si>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</si>
  <si>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</si>
  <si>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</si>
  <si>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</si>
  <si>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</si>
  <si>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</si>
  <si>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</si>
  <si>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</si>
  <si>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</si>
  <si>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</si>
  <si>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</si>
  <si>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</si>
  <si>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</si>
  <si>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</si>
  <si>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</si>
  <si>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</si>
  <si>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</si>
  <si>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</si>
  <si>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</si>
  <si>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</si>
  <si>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</si>
  <si>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</si>
  <si>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</si>
  <si>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</si>
  <si>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</si>
  <si>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</si>
  <si>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</si>
  <si>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</si>
  <si>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</si>
  <si>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</si>
  <si>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</si>
  <si>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</si>
  <si>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</si>
  <si>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</si>
  <si>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</si>
  <si>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</si>
  <si>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</si>
  <si>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</si>
  <si>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</si>
  <si>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</si>
  <si>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</si>
  <si>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</si>
  <si>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</si>
  <si>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</si>
  <si>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</si>
  <si>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</si>
  <si>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</si>
  <si>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</si>
  <si>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</si>
  <si>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</si>
  <si>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</si>
  <si>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</si>
  <si>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</si>
  <si>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</si>
  <si>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</si>
  <si>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</si>
  <si>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</si>
  <si>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</si>
  <si>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</si>
  <si>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</si>
  <si>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</si>
  <si>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</si>
  <si>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</si>
  <si>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</si>
  <si>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</si>
  <si>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</si>
  <si>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</si>
  <si>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</si>
  <si>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</si>
  <si>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</si>
  <si>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</si>
  <si>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</si>
  <si>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</si>
  <si>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</si>
  <si>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</si>
  <si>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</si>
  <si>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</si>
  <si>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</si>
  <si>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</si>
  <si>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</si>
  <si>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</si>
  <si>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</si>
  <si>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</si>
  <si>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</si>
  <si>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</si>
  <si>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</si>
  <si>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</si>
  <si>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</si>
  <si>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</si>
  <si>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</si>
  <si>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</si>
  <si>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</si>
  <si>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</si>
  <si>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</si>
  <si>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</si>
  <si>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</si>
  <si>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</si>
  <si>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</si>
  <si>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</si>
  <si>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</si>
  <si>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</si>
  <si>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</si>
  <si>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</si>
  <si>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</si>
  <si>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</si>
  <si>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</si>
  <si>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</si>
  <si>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</si>
  <si>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</si>
  <si>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</si>
  <si>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</si>
  <si>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</si>
  <si>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</si>
  <si>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</si>
  <si>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</si>
  <si>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</si>
  <si>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</si>
  <si>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</si>
  <si>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</si>
  <si>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</si>
  <si>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</si>
  <si>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</si>
  <si>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</si>
  <si>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</si>
  <si>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</si>
  <si>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</si>
  <si>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</si>
  <si>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</si>
  <si>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</si>
  <si>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</si>
  <si>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</si>
  <si>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</si>
  <si>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</si>
  <si>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</si>
  <si>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</si>
  <si>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</si>
  <si>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</si>
  <si>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</si>
  <si>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</si>
  <si>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</si>
  <si>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</si>
  <si>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</si>
  <si>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</si>
  <si>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</si>
  <si>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</si>
  <si>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</si>
  <si>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</si>
  <si>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</si>
  <si>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</si>
  <si>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</si>
  <si>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</si>
  <si>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</si>
  <si>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</si>
  <si>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</si>
  <si>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</si>
  <si>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</si>
  <si>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</si>
  <si>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</si>
  <si>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</si>
  <si>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</si>
  <si>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</si>
  <si>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</si>
  <si>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</si>
  <si>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</si>
  <si>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</si>
  <si>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</si>
  <si>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</si>
  <si>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</si>
  <si>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</si>
  <si>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</si>
  <si>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</si>
  <si>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</si>
  <si>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</si>
  <si>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</si>
  <si>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</si>
  <si>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</si>
  <si>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</si>
  <si>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</si>
  <si>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</si>
  <si>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</si>
  <si>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</si>
  <si>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</si>
  <si>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</si>
  <si>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</si>
  <si>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</si>
  <si>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</si>
  <si>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</si>
  <si>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</si>
  <si>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</si>
  <si>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</si>
  <si>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</si>
  <si>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</si>
  <si>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</si>
  <si>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</si>
  <si>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</si>
  <si>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</si>
  <si>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</si>
  <si>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</si>
  <si>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</si>
  <si>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</si>
  <si>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</si>
  <si>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</si>
  <si>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</si>
  <si>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</si>
  <si>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</si>
  <si>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</si>
  <si>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</si>
  <si>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</si>
  <si>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</si>
  <si>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</si>
  <si>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</si>
  <si>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</si>
  <si>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</si>
  <si>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</si>
  <si>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</si>
  <si>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</si>
  <si>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</si>
  <si>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</si>
  <si>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</si>
  <si>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</si>
  <si>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</si>
  <si>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</si>
  <si>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</si>
  <si>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</si>
  <si>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</si>
  <si>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</si>
  <si>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</si>
  <si>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</si>
  <si>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</si>
  <si>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</si>
  <si>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</si>
  <si>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</si>
  <si>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</si>
  <si>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</si>
  <si>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</si>
  <si>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</si>
  <si>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</si>
  <si>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</si>
  <si>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</si>
  <si>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</si>
  <si>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</si>
  <si>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</si>
  <si>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</si>
  <si>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</si>
  <si>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</si>
  <si>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</si>
  <si>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</si>
  <si>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</si>
  <si>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</si>
  <si>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</si>
  <si>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</si>
  <si>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</si>
  <si>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</si>
  <si>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</si>
  <si>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</si>
  <si>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</si>
  <si>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</si>
  <si>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</si>
  <si>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</si>
  <si>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</si>
  <si>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</si>
  <si>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</si>
  <si>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</si>
  <si>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</si>
  <si>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</si>
  <si>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</si>
  <si>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</si>
  <si>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</si>
  <si>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</si>
  <si>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</si>
  <si>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</si>
  <si>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</si>
  <si>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</si>
  <si>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</si>
  <si>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</si>
  <si>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</si>
  <si>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</si>
  <si>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</si>
  <si>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</si>
  <si>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</si>
  <si>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</si>
  <si>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</si>
  <si>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</si>
  <si>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</si>
  <si>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</si>
  <si>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</si>
  <si>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</si>
  <si>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</si>
  <si>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</si>
  <si>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</si>
  <si>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</si>
  <si>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</si>
  <si>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</si>
  <si>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</si>
  <si>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</si>
  <si>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</si>
  <si>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</si>
  <si>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</si>
  <si>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</si>
  <si>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</si>
  <si>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</si>
  <si>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</si>
  <si>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</si>
  <si>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</si>
  <si>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</si>
  <si>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</si>
  <si>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</si>
  <si>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</si>
  <si>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</si>
  <si>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</si>
  <si>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</si>
  <si>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</si>
  <si>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</si>
  <si>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</si>
  <si>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</si>
  <si>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</si>
  <si>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</si>
  <si>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</si>
  <si>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</si>
  <si>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</si>
  <si>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</si>
  <si>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</si>
  <si>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</si>
  <si>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</si>
  <si>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</si>
  <si>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</si>
  <si>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</si>
  <si>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</si>
  <si>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</si>
  <si>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</si>
  <si>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</si>
  <si>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</si>
  <si>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</si>
  <si>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</si>
  <si>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</si>
  <si>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</si>
  <si>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</si>
  <si>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</si>
  <si>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</si>
  <si>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</si>
  <si>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</si>
  <si>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</si>
  <si>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</si>
  <si>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</si>
  <si>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</si>
  <si>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</si>
  <si>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</si>
  <si>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</si>
  <si>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</si>
  <si>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</si>
  <si>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</si>
  <si>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</si>
  <si>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</si>
  <si>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</si>
  <si>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</si>
  <si>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</si>
  <si>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</si>
  <si>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</si>
  <si>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</si>
  <si>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</si>
  <si>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</si>
  <si>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</si>
  <si>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</si>
  <si>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</si>
  <si>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</si>
  <si>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</si>
  <si>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</si>
  <si>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</si>
  <si>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</si>
  <si>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</si>
  <si>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</si>
  <si>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</si>
  <si>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</si>
  <si>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</si>
  <si>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</si>
  <si>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</si>
  <si>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</si>
  <si>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</si>
  <si>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</si>
  <si>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</si>
  <si>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</si>
  <si>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</si>
  <si>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</si>
  <si>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</si>
  <si>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</si>
  <si>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</si>
  <si>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</si>
  <si>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</si>
  <si>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</si>
  <si>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</si>
  <si>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</si>
  <si>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</si>
  <si>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</si>
  <si>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</si>
  <si>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</si>
  <si>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</si>
  <si>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</si>
  <si>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</si>
  <si>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</si>
  <si>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</si>
  <si>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</si>
  <si>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</si>
  <si>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</si>
  <si>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</si>
  <si>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</si>
  <si>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</si>
  <si>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</si>
  <si>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</si>
  <si>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</si>
  <si>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</si>
  <si>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</si>
  <si>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</si>
  <si>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</si>
  <si>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</si>
  <si>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</si>
  <si>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</si>
  <si>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</si>
  <si>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</si>
  <si>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</si>
  <si>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</si>
  <si>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</si>
  <si>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</si>
  <si>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</si>
  <si>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</si>
  <si>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</si>
  <si>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</si>
  <si>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</si>
  <si>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</si>
  <si>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</si>
  <si>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</si>
  <si>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</si>
  <si>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</si>
  <si>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</si>
  <si>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</si>
  <si>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</si>
  <si>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</si>
  <si>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</si>
  <si>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</si>
  <si>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</si>
  <si>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</si>
  <si>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</si>
  <si>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</si>
  <si>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</si>
  <si>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</si>
  <si>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</si>
  <si>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</si>
  <si>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</si>
  <si>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</si>
  <si>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</si>
  <si>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</si>
  <si>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</si>
  <si>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</si>
  <si>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</si>
  <si>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</si>
  <si>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</si>
  <si>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</si>
  <si>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</si>
  <si>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</si>
  <si>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</si>
  <si>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</si>
  <si>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</si>
  <si>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</si>
  <si>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</si>
  <si>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</si>
  <si>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</si>
  <si>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</si>
  <si>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</si>
  <si>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</si>
  <si>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</si>
  <si>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</si>
  <si>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</si>
  <si>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</si>
  <si>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</si>
  <si>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</si>
  <si>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</si>
  <si>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</si>
  <si>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</si>
  <si>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</si>
  <si>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</si>
  <si>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</si>
  <si>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</si>
  <si>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</si>
  <si>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</si>
  <si>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</si>
  <si>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</si>
  <si>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</si>
  <si>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</si>
  <si>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</si>
  <si>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</si>
  <si>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</si>
  <si>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</si>
  <si>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</si>
  <si>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</si>
  <si>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</si>
  <si>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</si>
  <si>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</si>
  <si>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</si>
  <si>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</si>
  <si>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</si>
  <si>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</si>
  <si>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</si>
  <si>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</si>
  <si>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</si>
  <si>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</si>
  <si>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</si>
  <si>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</si>
  <si>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</si>
  <si>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</si>
  <si>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</si>
  <si>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</si>
  <si>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</si>
  <si>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2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</si>
  <si>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</si>
  <si>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2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</si>
  <si>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</si>
  <si>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</si>
  <si>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</si>
  <si>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</si>
  <si>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2" type="noConversion"/>
  </si>
  <si>
    <t>Longitude:</t>
    <phoneticPr fontId="12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</si>
  <si>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</si>
  <si>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</si>
  <si>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</si>
  <si>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</si>
  <si>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</si>
  <si>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</si>
  <si>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</si>
  <si>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2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</si>
  <si>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</si>
  <si>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</si>
  <si>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</si>
  <si>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</si>
  <si>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</si>
  <si>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2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</si>
  <si>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</si>
  <si>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</si>
  <si>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</si>
  <si>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</si>
  <si>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</si>
  <si>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</si>
  <si>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</si>
  <si>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</si>
  <si>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</si>
  <si>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</si>
  <si>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</si>
  <si>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</si>
  <si>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</si>
  <si>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</si>
  <si>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</si>
  <si>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</si>
  <si>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</si>
  <si>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</si>
  <si>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</si>
  <si>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</si>
  <si>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</si>
  <si>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</si>
  <si>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</si>
  <si>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</si>
  <si>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</si>
  <si>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</si>
  <si>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</si>
  <si>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</si>
  <si>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</si>
  <si>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</si>
  <si>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</si>
  <si>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</si>
  <si>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</si>
  <si>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</si>
  <si>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</si>
  <si>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</si>
  <si>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</si>
  <si>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</si>
  <si>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</si>
  <si>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</si>
  <si>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</si>
  <si>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</si>
  <si>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</si>
  <si>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</si>
  <si>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</si>
  <si>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</si>
  <si>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</si>
  <si>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</si>
  <si>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</si>
  <si>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</si>
  <si>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</si>
  <si>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</si>
  <si>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</si>
  <si>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</si>
  <si>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</si>
  <si>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</si>
  <si>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</si>
  <si>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</si>
  <si>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</si>
  <si>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</si>
  <si>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</si>
  <si>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SC PCA 1</t>
  </si>
  <si>
    <t>Zizia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</si>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</sst>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5" fillId="0" borderId="0"/>
    <xf numFmtId="0" fontId="20" fillId="0" borderId="0" applyNumberFormat="0" applyFill="0" applyBorder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19" applyNumberFormat="0" applyAlignment="0" applyProtection="0"/>
    <xf numFmtId="0" fontId="28" fillId="6" borderId="20" applyNumberFormat="0" applyAlignment="0" applyProtection="0"/>
    <xf numFmtId="0" fontId="29" fillId="6" borderId="19" applyNumberFormat="0" applyAlignment="0" applyProtection="0"/>
    <xf numFmtId="0" fontId="30" fillId="0" borderId="21" applyNumberFormat="0" applyFill="0" applyAlignment="0" applyProtection="0"/>
    <xf numFmtId="0" fontId="31" fillId="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4" applyNumberFormat="0" applyFill="0" applyAlignment="0" applyProtection="0"/>
    <xf numFmtId="0" fontId="3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35" fillId="32" borderId="0" applyNumberFormat="0" applyBorder="0" applyAlignment="0" applyProtection="0"/>
    <xf numFmtId="0" fontId="37" fillId="0" borderId="0"/>
    <xf numFmtId="0" fontId="15" fillId="0" borderId="0"/>
    <xf numFmtId="0" fontId="9" fillId="0" borderId="0"/>
    <xf numFmtId="0" fontId="9" fillId="8" borderId="23" applyNumberFormat="0" applyFont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2" fillId="0" borderId="0"/>
    <xf numFmtId="0" fontId="8" fillId="0" borderId="0"/>
    <xf numFmtId="0" fontId="8" fillId="8" borderId="23" applyNumberFormat="0" applyFont="0" applyAlignment="0" applyProtection="0"/>
    <xf numFmtId="0" fontId="15" fillId="0" borderId="0"/>
  </cellStyleXfs>
  <cellXfs count="162">
    <xf numFmtId="0" fontId="0" fillId="0" borderId="0" xfId="0"/>
    <xf numFmtId="0" fontId="10" fillId="0" borderId="0" xfId="0" applyFont="1"/>
    <xf numFmtId="0" fontId="13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1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5" fillId="0" borderId="0" xfId="0" applyFont="1"/>
    <xf numFmtId="0" fontId="15" fillId="0" borderId="0" xfId="1"/>
    <xf numFmtId="0" fontId="14" fillId="0" borderId="0" xfId="1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1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5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1" fillId="0" borderId="0" xfId="0" applyFont="1" applyFill="1" applyBorder="1" applyAlignment="1">
      <alignment horizontal="center"/>
    </xf>
    <xf numFmtId="14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8" fillId="0" borderId="0" xfId="0" applyFont="1"/>
    <xf numFmtId="0" fontId="19" fillId="0" borderId="0" xfId="0" applyFont="1" applyAlignment="1">
      <alignment vertical="center"/>
    </xf>
    <xf numFmtId="0" fontId="15" fillId="0" borderId="0" xfId="0" applyFont="1" applyAlignment="1"/>
    <xf numFmtId="0" fontId="0" fillId="0" borderId="0" xfId="0" applyBorder="1"/>
    <xf numFmtId="0" fontId="10" fillId="0" borderId="15" xfId="0" applyFont="1" applyBorder="1"/>
    <xf numFmtId="0" fontId="0" fillId="0" borderId="0" xfId="0"/>
    <xf numFmtId="0" fontId="0" fillId="0" borderId="0" xfId="0"/>
    <xf numFmtId="0" fontId="36" fillId="0" borderId="25" xfId="0" applyFont="1" applyBorder="1"/>
    <xf numFmtId="0" fontId="36" fillId="0" borderId="25" xfId="0" applyFont="1" applyFill="1" applyBorder="1"/>
    <xf numFmtId="0" fontId="36" fillId="0" borderId="25" xfId="0" applyNumberFormat="1" applyFont="1" applyBorder="1"/>
    <xf numFmtId="0" fontId="37" fillId="0" borderId="0" xfId="0" applyFont="1" applyFill="1"/>
    <xf numFmtId="0" fontId="0" fillId="0" borderId="0" xfId="0" quotePrefix="1" applyNumberFormat="1"/>
    <xf numFmtId="0" fontId="37" fillId="0" borderId="0" xfId="0" quotePrefix="1" applyNumberFormat="1" applyFont="1"/>
    <xf numFmtId="0" fontId="0" fillId="0" borderId="0" xfId="0" applyNumberFormat="1"/>
    <xf numFmtId="0" fontId="37" fillId="0" borderId="0" xfId="0" applyFont="1"/>
    <xf numFmtId="0" fontId="37" fillId="0" borderId="0" xfId="0" quotePrefix="1" applyNumberFormat="1" applyFont="1" applyFill="1"/>
    <xf numFmtId="0" fontId="38" fillId="0" borderId="0" xfId="0" applyFont="1"/>
    <xf numFmtId="0" fontId="10" fillId="0" borderId="15" xfId="1" applyFont="1" applyFill="1" applyBorder="1"/>
    <xf numFmtId="0" fontId="15" fillId="0" borderId="0" xfId="0" applyFont="1" applyAlignment="1">
      <alignment vertical="center"/>
    </xf>
    <xf numFmtId="0" fontId="0" fillId="0" borderId="15" xfId="0" applyBorder="1"/>
    <xf numFmtId="0" fontId="15" fillId="0" borderId="0" xfId="1"/>
    <xf numFmtId="0" fontId="15" fillId="0" borderId="0" xfId="1" applyFont="1"/>
    <xf numFmtId="0" fontId="10" fillId="0" borderId="0" xfId="1" applyFont="1"/>
    <xf numFmtId="0" fontId="10" fillId="0" borderId="15" xfId="1" applyFont="1" applyBorder="1"/>
    <xf numFmtId="0" fontId="15" fillId="0" borderId="0" xfId="1" applyBorder="1"/>
    <xf numFmtId="0" fontId="10" fillId="0" borderId="0" xfId="1" applyFont="1" applyFill="1"/>
    <xf numFmtId="0" fontId="40" fillId="0" borderId="26" xfId="0" applyFont="1" applyBorder="1"/>
    <xf numFmtId="0" fontId="40" fillId="0" borderId="25" xfId="0" applyFont="1" applyBorder="1"/>
    <xf numFmtId="0" fontId="40" fillId="0" borderId="27" xfId="0" applyFont="1" applyBorder="1"/>
    <xf numFmtId="0" fontId="39" fillId="0" borderId="28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37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8" fillId="0" borderId="0" xfId="46"/>
    <xf numFmtId="0" fontId="37" fillId="0" borderId="0" xfId="59" applyFont="1" applyFill="1"/>
    <xf numFmtId="0" fontId="15" fillId="0" borderId="15" xfId="0" applyFont="1" applyBorder="1" applyAlignment="1">
      <alignment vertical="center"/>
    </xf>
    <xf numFmtId="0" fontId="15" fillId="0" borderId="30" xfId="1" applyBorder="1"/>
    <xf numFmtId="0" fontId="15" fillId="0" borderId="15" xfId="1" applyFont="1" applyBorder="1"/>
    <xf numFmtId="0" fontId="15" fillId="0" borderId="0" xfId="0" applyFont="1"/>
    <xf numFmtId="0" fontId="10" fillId="0" borderId="0" xfId="0" applyFont="1"/>
    <xf numFmtId="0" fontId="0" fillId="0" borderId="0" xfId="0"/>
    <xf numFmtId="0" fontId="0" fillId="0" borderId="0" xfId="0"/>
    <xf numFmtId="0" fontId="10" fillId="0" borderId="0" xfId="0" applyFont="1" applyAlignment="1">
      <alignment horizontal="right"/>
    </xf>
    <xf numFmtId="0" fontId="10" fillId="0" borderId="0" xfId="0" applyFont="1" applyAlignment="1"/>
    <xf numFmtId="0" fontId="16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5" fillId="0" borderId="0" xfId="1" applyNumberFormat="1" applyFont="1"/>
    <xf numFmtId="0" fontId="15" fillId="0" borderId="0" xfId="1" applyBorder="1"/>
    <xf numFmtId="0" fontId="10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0" fillId="0" borderId="0" xfId="1" applyFont="1" applyFill="1"/>
    <xf numFmtId="0" fontId="0" fillId="0" borderId="0" xfId="0"/>
    <xf numFmtId="0" fontId="10" fillId="0" borderId="0" xfId="1" applyFont="1"/>
    <xf numFmtId="0" fontId="0" fillId="0" borderId="0" xfId="0"/>
    <xf numFmtId="0" fontId="10" fillId="0" borderId="0" xfId="1" applyFont="1"/>
    <xf numFmtId="0" fontId="15" fillId="0" borderId="0" xfId="1" applyFont="1" applyFill="1"/>
    <xf numFmtId="0" fontId="15" fillId="34" borderId="0" xfId="1" applyFill="1" applyBorder="1"/>
    <xf numFmtId="0" fontId="15" fillId="34" borderId="0" xfId="0" applyFont="1" applyFill="1"/>
    <xf numFmtId="0" fontId="15" fillId="34" borderId="15" xfId="0" applyFont="1" applyFill="1" applyBorder="1"/>
    <xf numFmtId="2" fontId="15" fillId="0" borderId="26" xfId="0" applyNumberFormat="1" applyFont="1" applyBorder="1"/>
    <xf numFmtId="2" fontId="15" fillId="0" borderId="32" xfId="0" applyNumberFormat="1" applyFont="1" applyBorder="1" applyAlignment="1">
      <alignment horizontal="center"/>
    </xf>
    <xf numFmtId="2" fontId="15" fillId="0" borderId="25" xfId="0" applyNumberFormat="1" applyFont="1" applyBorder="1"/>
    <xf numFmtId="2" fontId="15" fillId="0" borderId="27" xfId="0" applyNumberFormat="1" applyFont="1" applyBorder="1"/>
    <xf numFmtId="0" fontId="0" fillId="0" borderId="0" xfId="0"/>
    <xf numFmtId="0" fontId="15" fillId="35" borderId="0" xfId="0" applyFont="1" applyFill="1" applyAlignment="1">
      <alignment vertical="center"/>
    </xf>
    <xf numFmtId="0" fontId="15" fillId="35" borderId="0" xfId="1" applyFont="1" applyFill="1"/>
    <xf numFmtId="2" fontId="15" fillId="0" borderId="25" xfId="0" applyNumberFormat="1" applyFont="1" applyFill="1" applyBorder="1"/>
    <xf numFmtId="2" fontId="15" fillId="36" borderId="25" xfId="0" applyNumberFormat="1" applyFont="1" applyFill="1" applyBorder="1"/>
    <xf numFmtId="2" fontId="15" fillId="36" borderId="27" xfId="0" applyNumberFormat="1" applyFont="1" applyFill="1" applyBorder="1"/>
    <xf numFmtId="0" fontId="15" fillId="0" borderId="0" xfId="0" applyFont="1"/>
    <xf numFmtId="0" fontId="15" fillId="0" borderId="25" xfId="1" applyBorder="1"/>
    <xf numFmtId="0" fontId="15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0" fillId="0" borderId="0" xfId="0"/>
    <xf numFmtId="0" fontId="6" fillId="0" borderId="0" xfId="46" applyFont="1"/>
    <xf numFmtId="0" fontId="15" fillId="0" borderId="25" xfId="1" applyBorder="1" applyAlignment="1">
      <alignment horizontal="center" vertical="center"/>
    </xf>
    <xf numFmtId="0" fontId="44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4" fillId="0" borderId="25" xfId="0" applyFont="1" applyBorder="1" applyAlignment="1">
      <alignment vertical="center"/>
    </xf>
    <xf numFmtId="0" fontId="44" fillId="0" borderId="33" xfId="0" applyFont="1" applyBorder="1" applyAlignment="1">
      <alignment wrapText="1"/>
    </xf>
    <xf numFmtId="0" fontId="44" fillId="0" borderId="33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44" fillId="0" borderId="25" xfId="0" applyFont="1" applyBorder="1"/>
    <xf numFmtId="0" fontId="44" fillId="0" borderId="25" xfId="1" applyFont="1" applyBorder="1" applyAlignment="1">
      <alignment horizontal="center" vertical="center"/>
    </xf>
    <xf numFmtId="0" fontId="15" fillId="0" borderId="0" xfId="0" quotePrefix="1" applyNumberFormat="1" applyFont="1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0" fillId="0" borderId="0" xfId="1" applyFont="1" applyFill="1"/>
    <xf numFmtId="0" fontId="0" fillId="0" borderId="0" xfId="0"/>
    <xf numFmtId="0" fontId="10" fillId="0" borderId="0" xfId="1" applyFont="1"/>
    <xf numFmtId="0" fontId="14" fillId="0" borderId="0" xfId="1" applyFont="1"/>
    <xf numFmtId="0" fontId="17" fillId="0" borderId="0" xfId="1" applyFont="1" applyAlignment="1">
      <alignment horizontal="center"/>
    </xf>
    <xf numFmtId="0" fontId="15" fillId="0" borderId="0" xfId="1" applyFont="1" applyFill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39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44098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5367</v>
      </c>
      <c r="B12" s="65" t="s">
        <v>5368</v>
      </c>
      <c r="C12" s="65"/>
      <c r="D12" s="65"/>
      <c r="E12" s="65"/>
    </row>
    <row r="13" spans="1:5" x14ac:dyDescent="0.2">
      <c r="A13" s="69" t="s">
        <v>5369</v>
      </c>
      <c r="B13" s="65"/>
      <c r="C13" s="65"/>
      <c r="D13" s="65"/>
      <c r="E13" s="65"/>
    </row>
    <row r="14" spans="1:5" x14ac:dyDescent="0.2">
      <c r="A14" s="69" t="s">
        <v>5370</v>
      </c>
      <c r="B14" s="65"/>
      <c r="C14" s="65"/>
      <c r="D14" s="65"/>
      <c r="E14" s="65"/>
    </row>
    <row r="15" spans="1:5" x14ac:dyDescent="0.2">
      <c r="A15" s="69" t="s">
        <v>5371</v>
      </c>
      <c r="B15" s="28"/>
      <c r="C15" s="67"/>
      <c r="D15" s="28"/>
      <c r="E15" s="28"/>
    </row>
    <row r="16" spans="1:5" x14ac:dyDescent="0.2">
      <c r="A16" s="69" t="s">
        <v>5372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5373</v>
      </c>
      <c r="B18" s="65"/>
      <c r="C18" s="67"/>
      <c r="D18" s="65"/>
      <c r="E18" s="65"/>
    </row>
    <row r="19" spans="1:5" x14ac:dyDescent="0.2">
      <c r="A19" s="69" t="s">
        <v>5374</v>
      </c>
      <c r="B19" s="70"/>
      <c r="C19" s="65"/>
      <c r="D19" s="65"/>
      <c r="E19" s="65"/>
    </row>
    <row r="20" spans="1:5" x14ac:dyDescent="0.2">
      <c r="A20" s="25" t="s">
        <v>5375</v>
      </c>
      <c r="B20" s="65"/>
      <c r="C20" s="67"/>
      <c r="D20" s="65"/>
      <c r="E20" s="65"/>
    </row>
    <row r="21" spans="1:5" x14ac:dyDescent="0.2">
      <c r="A21" s="25" t="s">
        <v>5376</v>
      </c>
      <c r="B21" s="28"/>
      <c r="C21" s="28"/>
      <c r="D21" s="28"/>
      <c r="E21" s="28"/>
    </row>
    <row r="22" spans="1:5" x14ac:dyDescent="0.2">
      <c r="A22" s="147" t="s">
        <v>5377</v>
      </c>
      <c r="B22" s="147"/>
      <c r="C22" s="147"/>
      <c r="D22" s="147"/>
      <c r="E22" s="14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6" t="s">
        <v>5378</v>
      </c>
      <c r="B24" s="146"/>
      <c r="C24" s="146"/>
      <c r="D24" s="146"/>
      <c r="E24" s="14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5379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5380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5381</v>
      </c>
      <c r="B38" s="66"/>
      <c r="C38" s="65"/>
      <c r="D38" s="65"/>
      <c r="E38" s="65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9" t="s">
        <v>5382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5383</v>
      </c>
      <c r="B44" s="70"/>
      <c r="C44" s="70"/>
      <c r="D44" s="70"/>
      <c r="E44" s="70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5384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5385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5386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5387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5388</v>
      </c>
      <c r="B75" s="65" t="s">
        <v>5389</v>
      </c>
      <c r="C75" s="65"/>
      <c r="D75" s="65"/>
      <c r="E75" s="65"/>
    </row>
    <row r="76" spans="1:5" x14ac:dyDescent="0.2">
      <c r="A76" s="69" t="s">
        <v>5390</v>
      </c>
      <c r="B76" s="65" t="s">
        <v>5389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5391</v>
      </c>
      <c r="B79" s="65" t="s">
        <v>5392</v>
      </c>
      <c r="C79" s="65"/>
      <c r="D79" s="65"/>
      <c r="E79" s="65"/>
    </row>
    <row r="80" spans="1:5" x14ac:dyDescent="0.2">
      <c r="A80" s="69" t="s">
        <v>5393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8"/>
      <c r="D93" s="139" t="s">
        <v>44</v>
      </c>
      <c r="E93" s="140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43" t="s">
        <v>31</v>
      </c>
      <c r="C95" s="144"/>
      <c r="D95" s="3" t="s">
        <v>47</v>
      </c>
      <c r="E95" s="9">
        <v>7</v>
      </c>
    </row>
    <row r="96" spans="1:5" x14ac:dyDescent="0.2">
      <c r="A96" s="73" t="s">
        <v>3</v>
      </c>
      <c r="B96" s="143" t="s">
        <v>32</v>
      </c>
      <c r="C96" s="144"/>
      <c r="D96" s="3" t="s">
        <v>48</v>
      </c>
      <c r="E96" s="9">
        <v>6</v>
      </c>
    </row>
    <row r="97" spans="1:5" x14ac:dyDescent="0.2">
      <c r="A97" s="73" t="s">
        <v>25</v>
      </c>
      <c r="B97" s="143" t="s">
        <v>33</v>
      </c>
      <c r="C97" s="144"/>
      <c r="D97" s="3" t="s">
        <v>49</v>
      </c>
      <c r="E97" s="9">
        <v>5</v>
      </c>
    </row>
    <row r="98" spans="1:5" x14ac:dyDescent="0.2">
      <c r="A98" s="73" t="s">
        <v>26</v>
      </c>
      <c r="B98" s="143" t="s">
        <v>34</v>
      </c>
      <c r="C98" s="144"/>
      <c r="D98" s="3" t="s">
        <v>50</v>
      </c>
      <c r="E98" s="9">
        <v>4</v>
      </c>
    </row>
    <row r="99" spans="1:5" x14ac:dyDescent="0.2">
      <c r="A99" s="73" t="s">
        <v>27</v>
      </c>
      <c r="B99" s="143" t="s">
        <v>35</v>
      </c>
      <c r="C99" s="144"/>
      <c r="D99" s="3" t="s">
        <v>4</v>
      </c>
      <c r="E99" s="9">
        <v>3</v>
      </c>
    </row>
    <row r="100" spans="1:5" x14ac:dyDescent="0.2">
      <c r="A100" s="73" t="s">
        <v>2</v>
      </c>
      <c r="B100" s="143" t="s">
        <v>36</v>
      </c>
      <c r="C100" s="144"/>
      <c r="D100" s="3" t="s">
        <v>5</v>
      </c>
      <c r="E100" s="9">
        <v>2</v>
      </c>
    </row>
    <row r="101" spans="1:5" x14ac:dyDescent="0.2">
      <c r="A101" s="73" t="s">
        <v>28</v>
      </c>
      <c r="B101" s="143" t="s">
        <v>37</v>
      </c>
      <c r="C101" s="14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0" t="s">
        <v>38</v>
      </c>
      <c r="C102" s="151"/>
      <c r="D102" s="5"/>
      <c r="E102" s="8"/>
    </row>
    <row r="103" spans="1:5" ht="13.5" thickBot="1" x14ac:dyDescent="0.25">
      <c r="A103" s="136" t="s">
        <v>68</v>
      </c>
      <c r="B103" s="137"/>
      <c r="C103" s="138"/>
      <c r="D103" s="139" t="s">
        <v>45</v>
      </c>
      <c r="E103" s="14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40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43" t="s">
        <v>41</v>
      </c>
      <c r="C114" s="144"/>
    </row>
    <row r="115" spans="1:3" x14ac:dyDescent="0.2">
      <c r="A115" s="74" t="s">
        <v>15</v>
      </c>
      <c r="B115" s="148" t="s">
        <v>42</v>
      </c>
      <c r="C115" s="14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2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4" t="s">
        <v>138</v>
      </c>
      <c r="B2" s="154"/>
      <c r="C2" s="15"/>
      <c r="D2" s="15"/>
      <c r="E2" s="15"/>
      <c r="F2" s="15"/>
      <c r="G2" s="15"/>
      <c r="H2" s="15"/>
    </row>
    <row r="3" spans="1:14" x14ac:dyDescent="0.2">
      <c r="A3" s="155" t="s">
        <v>52</v>
      </c>
      <c r="B3" s="155"/>
      <c r="C3" s="15"/>
      <c r="D3" s="15"/>
      <c r="E3" s="15"/>
      <c r="F3" s="15"/>
      <c r="G3" s="15"/>
      <c r="H3" s="15"/>
    </row>
    <row r="4" spans="1:14" x14ac:dyDescent="0.2">
      <c r="A4" s="155" t="s">
        <v>55</v>
      </c>
      <c r="B4" s="155"/>
      <c r="C4" s="15"/>
      <c r="D4" s="15"/>
      <c r="E4" s="15"/>
      <c r="F4" s="15"/>
      <c r="G4" s="15"/>
      <c r="H4" s="15"/>
    </row>
    <row r="5" spans="1:14" x14ac:dyDescent="0.2">
      <c r="A5" s="155" t="s">
        <v>51</v>
      </c>
      <c r="B5" s="155"/>
      <c r="C5" s="15"/>
      <c r="D5" s="15"/>
      <c r="E5" s="15"/>
      <c r="F5" s="15"/>
      <c r="G5" s="15"/>
      <c r="H5" s="15"/>
    </row>
    <row r="6" spans="1:14" x14ac:dyDescent="0.2">
      <c r="A6" s="152" t="s">
        <v>128</v>
      </c>
      <c r="B6" s="152"/>
    </row>
    <row r="7" spans="1:14" x14ac:dyDescent="0.2">
      <c r="A7" s="152" t="s">
        <v>129</v>
      </c>
      <c r="B7" s="152"/>
      <c r="C7" s="153"/>
      <c r="D7" s="153"/>
      <c r="E7" s="153"/>
      <c r="F7" s="15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626" zoomScale="70" zoomScaleNormal="70" workbookViewId="0">
      <selection activeCell="C1657" sqref="C165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5396</v>
      </c>
      <c r="I2" s="42" t="s">
        <v>4820</v>
      </c>
      <c r="J2" s="42">
        <v>0.5</v>
      </c>
      <c r="K2" s="42"/>
      <c r="L2" s="42"/>
      <c r="M2" s="42"/>
      <c r="N2" s="13" t="s">
        <v>5365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5394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5395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8" t="s">
        <v>5431</v>
      </c>
      <c r="B24" s="31" t="s">
        <v>5360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4840</v>
      </c>
      <c r="B36" s="31" t="s">
        <v>5361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4841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4842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4843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4844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4845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4846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4847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4848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4849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4850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4851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4852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4853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4854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5445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31" t="s">
        <v>5443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4873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4881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4890</v>
      </c>
      <c r="C426" s="32"/>
      <c r="E426" s="32"/>
      <c r="F426" s="32"/>
    </row>
    <row r="427" spans="1:6" x14ac:dyDescent="0.2">
      <c r="A427" s="36" t="s">
        <v>5419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4891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4892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4893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4894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4895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4896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4897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4898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4899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4900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4901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4902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4903</v>
      </c>
    </row>
    <row r="693" spans="1:6" x14ac:dyDescent="0.2">
      <c r="A693" s="36" t="s">
        <v>5413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4904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4905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4906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5366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4907</v>
      </c>
      <c r="B721" s="31" t="s">
        <v>5366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4908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4909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4910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4911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4912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4913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4914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4915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4916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4917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4918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4919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4920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4921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4922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4923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6" customFormat="1" x14ac:dyDescent="0.2">
      <c r="A822" s="36" t="s">
        <v>5425</v>
      </c>
      <c r="B822" s="117" t="s">
        <v>2316</v>
      </c>
      <c r="C822" s="37">
        <v>6</v>
      </c>
      <c r="D822" s="117" t="s">
        <v>149</v>
      </c>
      <c r="E822" s="12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4924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4925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5362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5449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4926</v>
      </c>
      <c r="C858" s="32"/>
      <c r="E858" s="32"/>
      <c r="F858" s="32"/>
    </row>
    <row r="859" spans="1:7" x14ac:dyDescent="0.2">
      <c r="A859" s="36" t="s">
        <v>5448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4927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4928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4929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4930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4931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4932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4933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4934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4935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4936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4937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4938</v>
      </c>
      <c r="C966" s="32"/>
      <c r="E966" s="32"/>
      <c r="F966" s="32"/>
    </row>
    <row r="967" spans="1:7" ht="15" x14ac:dyDescent="0.25">
      <c r="A967" s="60" t="s">
        <v>4939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4940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4941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5" customFormat="1" x14ac:dyDescent="0.2">
      <c r="A984" s="36" t="s">
        <v>5423</v>
      </c>
      <c r="B984" s="117" t="s">
        <v>5424</v>
      </c>
      <c r="C984" s="39">
        <v>7</v>
      </c>
      <c r="D984" s="117" t="s">
        <v>149</v>
      </c>
      <c r="E984" s="118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4942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4943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4944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4945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4946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4947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4948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4949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4950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4951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4952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4953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4954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4955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4956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4957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5414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4958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4959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4960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4961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4962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4963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4964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4965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4966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4967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4968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4969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4970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4971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4972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4973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4974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4975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4976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30" t="s">
        <v>5436</v>
      </c>
      <c r="B1289" s="31" t="s">
        <v>5437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4977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4978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4979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4980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4981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4982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4" t="s">
        <v>5450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4983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4984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4985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4986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4987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4988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4989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4990</v>
      </c>
      <c r="C1370" s="32"/>
      <c r="E1370" s="32"/>
      <c r="F1370" s="32"/>
    </row>
    <row r="1371" spans="1:10" ht="15" x14ac:dyDescent="0.25">
      <c r="A1371" s="60" t="s">
        <v>4991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4992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4993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4994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4995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4996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4997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4998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4999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5000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5001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5002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5003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5004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5451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5452</v>
      </c>
    </row>
    <row r="1440" spans="1:8" ht="15" x14ac:dyDescent="0.25">
      <c r="A1440" s="60" t="s">
        <v>5005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5006</v>
      </c>
      <c r="C1442" s="32"/>
      <c r="E1442" s="32"/>
      <c r="F1442" s="32"/>
    </row>
    <row r="1443" spans="1:7" ht="15" x14ac:dyDescent="0.25">
      <c r="A1443" s="60" t="s">
        <v>5007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8" t="s">
        <v>5429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5008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5009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5010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5011</v>
      </c>
      <c r="C1456" s="32"/>
      <c r="E1456" s="32"/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5012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5013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5014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5015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5016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5017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5018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5019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5020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5021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5022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4" t="s">
        <v>5453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5023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5024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5025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5026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5027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5028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5029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5030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5031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5032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5033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5034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5035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5036</v>
      </c>
      <c r="C1572" s="32"/>
      <c r="E1572" s="32"/>
      <c r="F1572" s="32"/>
    </row>
    <row r="1573" spans="1:7" ht="15" x14ac:dyDescent="0.25">
      <c r="A1573" s="60" t="s">
        <v>5037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5038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5039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5040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5041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5042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5043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5044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5045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5046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5047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5048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5049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5050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5051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5052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5053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5054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5055</v>
      </c>
      <c r="D1644" s="32"/>
    </row>
    <row r="1645" spans="1:6" s="108" customFormat="1" ht="15" x14ac:dyDescent="0.25">
      <c r="A1645" s="109" t="s">
        <v>5416</v>
      </c>
      <c r="C1645" s="108">
        <v>0</v>
      </c>
      <c r="D1645" s="108" t="s">
        <v>157</v>
      </c>
      <c r="E1645" s="108" t="s">
        <v>152</v>
      </c>
    </row>
    <row r="1646" spans="1:6" s="127" customFormat="1" ht="15" x14ac:dyDescent="0.25">
      <c r="A1646" s="130" t="s">
        <v>5433</v>
      </c>
      <c r="C1646" s="127">
        <v>0</v>
      </c>
      <c r="D1646" s="127" t="s">
        <v>157</v>
      </c>
      <c r="E1646" s="127" t="s">
        <v>152</v>
      </c>
    </row>
    <row r="1647" spans="1:6" s="127" customFormat="1" ht="15" x14ac:dyDescent="0.25">
      <c r="A1647" s="130" t="s">
        <v>5434</v>
      </c>
      <c r="C1647" s="127">
        <v>0</v>
      </c>
      <c r="D1647" s="127" t="s">
        <v>157</v>
      </c>
      <c r="E1647" s="127" t="s">
        <v>152</v>
      </c>
    </row>
    <row r="1648" spans="1:6" s="127" customFormat="1" ht="15" x14ac:dyDescent="0.25">
      <c r="A1648" s="130" t="s">
        <v>5435</v>
      </c>
      <c r="C1648" s="127">
        <v>0</v>
      </c>
      <c r="D1648" s="127" t="s">
        <v>157</v>
      </c>
      <c r="E1648" s="12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5056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5057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5058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5059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5060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5061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5062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5063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5064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5065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5066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5067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5068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5069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5070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5071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5072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5073</v>
      </c>
      <c r="C1730" s="32"/>
      <c r="E1730" s="32"/>
      <c r="F1730" s="32"/>
    </row>
    <row r="1731" spans="1:7" ht="15" x14ac:dyDescent="0.25">
      <c r="A1731" s="60" t="s">
        <v>5074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5075</v>
      </c>
      <c r="C1735" s="32"/>
      <c r="E1735" s="32"/>
      <c r="F1735" s="32"/>
    </row>
    <row r="1736" spans="1:7" ht="15" x14ac:dyDescent="0.25">
      <c r="A1736" s="60" t="s">
        <v>5076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5077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5078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5079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2" t="s">
        <v>5444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5080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5081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5082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5083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5084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5085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5086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5087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5088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5089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5090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5091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5092</v>
      </c>
      <c r="C1793" s="32"/>
      <c r="E1793" s="32"/>
      <c r="F1793" s="32"/>
    </row>
    <row r="1794" spans="1:7" ht="15" x14ac:dyDescent="0.25">
      <c r="A1794" s="60" t="s">
        <v>5093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5094</v>
      </c>
      <c r="C1801" s="32"/>
      <c r="E1801" s="32"/>
      <c r="F1801" s="32"/>
    </row>
    <row r="1802" spans="1:7" ht="15" x14ac:dyDescent="0.25">
      <c r="A1802" s="60" t="s">
        <v>5095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5096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5097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5098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5099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5100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5101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5102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5103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5104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5105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5106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5107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5108</v>
      </c>
      <c r="C1858" s="32"/>
      <c r="E1858" s="32"/>
      <c r="F1858" s="32"/>
    </row>
    <row r="1859" spans="1:7" ht="15" x14ac:dyDescent="0.25">
      <c r="A1859" s="60" t="s">
        <v>5109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5110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5111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5112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5113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5114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5115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5116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5117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5118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5119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5120</v>
      </c>
      <c r="C1896" s="32"/>
      <c r="E1896" s="32"/>
      <c r="F1896" s="32"/>
    </row>
    <row r="1897" spans="1:7" x14ac:dyDescent="0.2">
      <c r="A1897" s="36" t="s">
        <v>5454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5121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5122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5123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5124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5125</v>
      </c>
      <c r="C1921" s="32"/>
      <c r="E1921" s="32"/>
      <c r="F1921" s="32"/>
    </row>
    <row r="1922" spans="1:7" ht="15" x14ac:dyDescent="0.25">
      <c r="A1922" s="60" t="s">
        <v>5126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5127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5128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5129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5130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5131</v>
      </c>
      <c r="C1939" s="32"/>
      <c r="E1939" s="32"/>
      <c r="F1939" s="32"/>
    </row>
    <row r="1940" spans="1:7" x14ac:dyDescent="0.2">
      <c r="A1940" s="36" t="s">
        <v>5422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5132</v>
      </c>
      <c r="C1944" s="32"/>
      <c r="E1944" s="32"/>
      <c r="F1944" s="32"/>
    </row>
    <row r="1945" spans="1:7" ht="15" x14ac:dyDescent="0.25">
      <c r="A1945" s="60" t="s">
        <v>5133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5134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5135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5136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5137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5138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5139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5140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5141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5142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5143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8" t="s">
        <v>5432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5409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5144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5145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5146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5147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5148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5149</v>
      </c>
      <c r="C2015" s="32"/>
      <c r="E2015" s="32"/>
      <c r="F2015" s="32"/>
    </row>
    <row r="2016" spans="1:7" ht="15" x14ac:dyDescent="0.25">
      <c r="A2016" s="60" t="s">
        <v>5150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5151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5152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5153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5154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5155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5156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5157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5158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5159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5160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5161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5162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5163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5164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5165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5166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5167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5168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5169</v>
      </c>
      <c r="E2094" s="32"/>
      <c r="F2094" s="32"/>
    </row>
    <row r="2095" spans="1:7" ht="15" x14ac:dyDescent="0.25">
      <c r="A2095" s="60" t="s">
        <v>5170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5171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60" t="s">
        <v>5172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5173</v>
      </c>
      <c r="C2105" s="32"/>
      <c r="E2105" s="32"/>
      <c r="F2105" s="32"/>
    </row>
    <row r="2106" spans="1:7" ht="15" x14ac:dyDescent="0.25">
      <c r="A2106" s="60" t="s">
        <v>5174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5175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5176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5177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5178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5179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5180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5181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5182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5183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5184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5185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5186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5187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5188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5189</v>
      </c>
      <c r="C2212" s="32"/>
      <c r="D2212" s="32"/>
      <c r="E2212" s="32"/>
      <c r="F2212" s="32"/>
    </row>
    <row r="2213" spans="1:7" ht="15" x14ac:dyDescent="0.25">
      <c r="A2213" s="60" t="s">
        <v>5190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5191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5192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5193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5194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5195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5196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5197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5198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5199</v>
      </c>
      <c r="C2286" s="32"/>
      <c r="E2286" s="32"/>
      <c r="F2286" s="32"/>
    </row>
    <row r="2287" spans="1:7" ht="15" x14ac:dyDescent="0.25">
      <c r="A2287" s="60" t="s">
        <v>5200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5201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5202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5203</v>
      </c>
      <c r="C2305" s="32"/>
      <c r="E2305" s="32"/>
      <c r="F2305" s="32"/>
    </row>
    <row r="2306" spans="1:7" ht="15" x14ac:dyDescent="0.25">
      <c r="A2306" s="60" t="s">
        <v>5204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5205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5206</v>
      </c>
      <c r="C2313" s="32"/>
      <c r="E2313" s="32"/>
      <c r="F2313" s="32"/>
    </row>
    <row r="2314" spans="1:7" ht="15" x14ac:dyDescent="0.25">
      <c r="A2314" s="60" t="s">
        <v>5207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5208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5209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5210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5211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5212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5213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5214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5215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5216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5217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8" t="s">
        <v>5426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5218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5219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5220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5221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5415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60" t="s">
        <v>5222</v>
      </c>
      <c r="C2444" s="32"/>
      <c r="E2444" s="32"/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5223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5224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5225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5226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5227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5228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5229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5230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5231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5232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8" t="s">
        <v>5427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5233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30" t="s">
        <v>5438</v>
      </c>
      <c r="B2531" s="31" t="s">
        <v>5439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5234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5235</v>
      </c>
    </row>
    <row r="2538" spans="1:7" ht="15" x14ac:dyDescent="0.25">
      <c r="A2538" s="60" t="s">
        <v>5236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5237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5238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5239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5240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5241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5242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5243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5244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5446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5447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5245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5246</v>
      </c>
    </row>
    <row r="2585" spans="1:7" ht="15" x14ac:dyDescent="0.25">
      <c r="A2585" s="60" t="s">
        <v>5247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5248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5249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5250</v>
      </c>
    </row>
    <row r="2600" spans="1:7" s="111" customFormat="1" ht="15" x14ac:dyDescent="0.25">
      <c r="A2600" s="112" t="s">
        <v>5420</v>
      </c>
      <c r="B2600" s="111" t="s">
        <v>5421</v>
      </c>
      <c r="C2600" s="111">
        <v>0</v>
      </c>
      <c r="D2600" s="111" t="s">
        <v>149</v>
      </c>
      <c r="E2600" s="111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5251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5252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5253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5254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5255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5256</v>
      </c>
    </row>
    <row r="2625" spans="1:7" ht="15" x14ac:dyDescent="0.25">
      <c r="A2625" s="60" t="s">
        <v>5257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5258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5259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5260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5261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5262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5263</v>
      </c>
    </row>
    <row r="2662" spans="1:6" ht="15" x14ac:dyDescent="0.25">
      <c r="A2662" s="60" t="s">
        <v>5264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5265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6" customFormat="1" x14ac:dyDescent="0.2">
      <c r="A2674" s="36" t="s">
        <v>5428</v>
      </c>
      <c r="B2674" s="126" t="s">
        <v>4195</v>
      </c>
      <c r="C2674" s="126">
        <v>1</v>
      </c>
      <c r="D2674" s="12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5266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5412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5267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5268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5269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5270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5271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5272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5273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5274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5275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5276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5277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5278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5279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5280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5281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5282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5283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5284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5285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5286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5287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5288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5289</v>
      </c>
    </row>
    <row r="2802" spans="1:7" ht="15" x14ac:dyDescent="0.25">
      <c r="A2802" s="60" t="s">
        <v>5290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5291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60" t="s">
        <v>5292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5293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5294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5295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5296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5297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5298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5299</v>
      </c>
    </row>
    <row r="2862" spans="1:7" ht="15" x14ac:dyDescent="0.25">
      <c r="A2862" s="60" t="s">
        <v>5300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5301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5302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5303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5304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5305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5306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5307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5308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5309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5310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5311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5312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5313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5314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5315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5316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5317</v>
      </c>
    </row>
    <row r="2916" spans="1:7" ht="15" x14ac:dyDescent="0.25">
      <c r="A2916" s="60" t="s">
        <v>5318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5319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5320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5321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5322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5323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5324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5325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5326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5327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5328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5329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5330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5331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5332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5333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5334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5335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5336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5337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5338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5339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5340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5341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5342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5343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5344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5345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5346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0" customFormat="1" x14ac:dyDescent="0.2">
      <c r="A3045" s="36" t="s">
        <v>5417</v>
      </c>
      <c r="B3045" s="110" t="s">
        <v>5418</v>
      </c>
      <c r="C3045" s="37">
        <v>0</v>
      </c>
      <c r="D3045" s="110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8" t="s">
        <v>5430</v>
      </c>
      <c r="C3069" s="39">
        <v>4</v>
      </c>
      <c r="D3069" s="31" t="s">
        <v>149</v>
      </c>
      <c r="E3069" s="39" t="s">
        <v>147</v>
      </c>
    </row>
    <row r="3070" spans="1:7" s="129" customFormat="1" ht="15" x14ac:dyDescent="0.25">
      <c r="A3070" s="131" t="s">
        <v>5441</v>
      </c>
      <c r="C3070" s="39">
        <v>4</v>
      </c>
      <c r="D3070" s="129" t="s">
        <v>149</v>
      </c>
      <c r="E3070" s="39" t="s">
        <v>147</v>
      </c>
    </row>
    <row r="3071" spans="1:7" s="129" customFormat="1" ht="15" x14ac:dyDescent="0.25">
      <c r="A3071" s="131" t="s">
        <v>5442</v>
      </c>
      <c r="C3071" s="39">
        <v>7</v>
      </c>
      <c r="D3071" s="12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5347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5348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5349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5350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5351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5352</v>
      </c>
    </row>
    <row r="3104" spans="1:7" ht="15" x14ac:dyDescent="0.25">
      <c r="A3104" s="60" t="s">
        <v>5353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5354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5355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5356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5357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5358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60" t="s">
        <v>5359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103" t="s">
        <v>5507</v>
      </c>
      <c r="C2" s="46" t="str">
        <f>CONCATENATE(B2,2024)</f>
        <v>South Creek Releve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162</v>
      </c>
      <c r="B10" s="44" t="str">
        <f>IF(LEN(VLOOKUP(A10,'Species List'!$A:$G,2,FALSE))=0,"",VLOOKUP(A10,'Species List'!$A:$G,2,FALSE))</f>
        <v>box elder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5" t="s">
        <v>5394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0.23076923076923078</v>
      </c>
      <c r="O10" s="107">
        <f t="shared" ref="O10:O11" si="3">D10*N10</f>
        <v>0.23076923076923078</v>
      </c>
    </row>
    <row r="11" spans="1:15" x14ac:dyDescent="0.2">
      <c r="A11" s="133" t="s">
        <v>4589</v>
      </c>
      <c r="B11" s="44" t="str">
        <f>IF(LEN(VLOOKUP(A11,'Species List'!$A:$G,2,FALSE))=0,"",VLOOKUP(A11,'Species List'!$A:$G,2,FALSE))</f>
        <v>Siberian elm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UPL</v>
      </c>
      <c r="H11" s="44">
        <f>VLOOKUP(A11,'Species List'!$A:$G,7,FALSE)</f>
        <v>0</v>
      </c>
      <c r="J11" s="135" t="s">
        <v>5394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0.23076923076923078</v>
      </c>
      <c r="O11" s="107">
        <f t="shared" si="3"/>
        <v>0</v>
      </c>
    </row>
    <row r="12" spans="1:15" x14ac:dyDescent="0.2">
      <c r="A12" s="133" t="s">
        <v>162</v>
      </c>
      <c r="B12" s="44" t="str">
        <f>IF(LEN(VLOOKUP(A12,'Species List'!$A:$G,2,FALSE))=0,"",VLOOKUP(A12,'Species List'!$A:$G,2,FALSE))</f>
        <v>box elder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35" t="s">
        <v>5394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0.23076923076923078</v>
      </c>
      <c r="O12" s="85">
        <f>D12*N12</f>
        <v>0.23076923076923078</v>
      </c>
    </row>
    <row r="13" spans="1:15" x14ac:dyDescent="0.2">
      <c r="A13" s="133" t="s">
        <v>4589</v>
      </c>
      <c r="B13" s="44" t="str">
        <f>IF(LEN(VLOOKUP(A13,'Species List'!$A:$G,2,FALSE))=0,"",VLOOKUP(A13,'Species List'!$A:$G,2,FALSE))</f>
        <v>Siberian elm</v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UPL</v>
      </c>
      <c r="H13" s="44">
        <f>VLOOKUP(A13,'Species List'!$A:$G,7,FALSE)</f>
        <v>0</v>
      </c>
      <c r="J13" s="135" t="s">
        <v>5394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0.23076923076923078</v>
      </c>
      <c r="O13" s="97">
        <f t="shared" ref="O13:O76" si="6">D13*N13</f>
        <v>0</v>
      </c>
    </row>
    <row r="14" spans="1:15" x14ac:dyDescent="0.2">
      <c r="A14" s="133" t="s">
        <v>1463</v>
      </c>
      <c r="B14" s="44" t="str">
        <f>IF(LEN(VLOOKUP(A14,'Species List'!$A:$G,2,FALSE))=0,"",VLOOKUP(A14,'Species List'!$A:$G,2,FALSE))</f>
        <v>red-osier dogwood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[FACW]</v>
      </c>
      <c r="H14" s="44">
        <f>VLOOKUP(A14,'Species List'!$A:$G,7,FALSE)</f>
        <v>0</v>
      </c>
      <c r="J14" s="135" t="s">
        <v>5396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5"/>
        <v>0.5</v>
      </c>
      <c r="N14" s="85">
        <f t="shared" si="2"/>
        <v>3.8461538461538464E-2</v>
      </c>
      <c r="O14" s="97">
        <f t="shared" si="6"/>
        <v>0.11538461538461539</v>
      </c>
    </row>
    <row r="15" spans="1:15" ht="13.5" thickBot="1" x14ac:dyDescent="0.25">
      <c r="A15" s="133" t="s">
        <v>4589</v>
      </c>
      <c r="B15" s="44" t="str">
        <f>IF(LEN(VLOOKUP(A15,'Species List'!$A:$G,2,FALSE))=0,"",VLOOKUP(A15,'Species List'!$A:$G,2,FALSE))</f>
        <v>Siberian elm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35" t="s">
        <v>5396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85">
        <f t="shared" si="2"/>
        <v>3.8461538461538464E-2</v>
      </c>
      <c r="O15" s="97">
        <f t="shared" si="6"/>
        <v>0</v>
      </c>
    </row>
    <row r="16" spans="1:15" ht="13.5" thickBot="1" x14ac:dyDescent="0.25">
      <c r="A16" s="12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2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2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2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19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2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9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2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9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2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9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2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3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8" t="s">
        <v>5363</v>
      </c>
      <c r="J151" s="159"/>
      <c r="K151" s="160"/>
      <c r="L151" s="63">
        <f>SUMIF(L10:L150,"&gt;=0")</f>
        <v>13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557EF9B0-CB95-41A7-9BF5-88AAC19374B1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E24" sqref="E2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5411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4229</v>
      </c>
      <c r="B10" s="44" t="str">
        <f>IF(LEN(VLOOKUP(A10,'Species List'!$A:$G,2,FALSE))=0,"",VLOOKUP(A10,'Species List'!$A:$G,2,FALSE))</f>
        <v>stiff goldenrod</v>
      </c>
      <c r="C10" s="44">
        <f>IF(LEN(VLOOKUP(A10,'Species List'!$A:$G,3,FALSE))=0,"",VLOOKUP(A10,'Species List'!$A:$G,3,FALSE))</f>
        <v>5</v>
      </c>
      <c r="D10" s="98">
        <f t="shared" ref="D10:D11" si="0">VALUE(C10)</f>
        <v>5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5">
        <v>4</v>
      </c>
      <c r="K10" s="47" t="str">
        <f>VLOOKUP(J10,'Species List'!$H$1:$J$9,2,FALSE)</f>
        <v>&gt;50-75%</v>
      </c>
      <c r="L10" s="47">
        <f>VLOOKUP(K10,'Species List'!$I$1:$N$8,2,FALSE)</f>
        <v>62.5</v>
      </c>
      <c r="M10" s="99">
        <f t="shared" ref="M10:M12" si="1">VALUE(L10)</f>
        <v>62.5</v>
      </c>
      <c r="N10" s="107">
        <f t="shared" ref="N10:N41" si="2">L10/$L$150</f>
        <v>0.53418803418803418</v>
      </c>
      <c r="O10" s="107">
        <f t="shared" ref="O10:O11" si="3">D10*N10</f>
        <v>2.6709401709401708</v>
      </c>
    </row>
    <row r="11" spans="1:15" x14ac:dyDescent="0.2">
      <c r="A11" s="133" t="s">
        <v>1650</v>
      </c>
      <c r="B11" s="44" t="str">
        <f>IF(LEN(VLOOKUP(A11,'Species List'!$A:$G,2,FALSE))=0,"",VLOOKUP(A11,'Species List'!$A:$G,2,FALSE))</f>
        <v>Canada tick trefoil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35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2.564102564102564E-2</v>
      </c>
      <c r="O11" s="107">
        <f t="shared" si="3"/>
        <v>0.10256410256410256</v>
      </c>
    </row>
    <row r="12" spans="1:15" x14ac:dyDescent="0.2">
      <c r="A12" s="133" t="s">
        <v>3665</v>
      </c>
      <c r="B12" s="44" t="str">
        <f>IF(LEN(VLOOKUP(A12,'Species List'!$A:$G,2,FALSE))=0,"",VLOOKUP(A12,'Species List'!$A:$G,2,FALSE))</f>
        <v>Virginia mountain mint</v>
      </c>
      <c r="C12" s="44">
        <f>IF(LEN(VLOOKUP(A12,'Species List'!$A:$G,3,FALSE))=0,"",VLOOKUP(A12,'Species List'!$A:$G,3,FALSE))</f>
        <v>6</v>
      </c>
      <c r="D12" s="98">
        <f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35" t="s">
        <v>5394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2.564102564102564E-2</v>
      </c>
      <c r="O12" s="85">
        <f>D12*N12</f>
        <v>0.15384615384615385</v>
      </c>
    </row>
    <row r="13" spans="1:15" x14ac:dyDescent="0.2">
      <c r="A13" s="133" t="s">
        <v>4425</v>
      </c>
      <c r="B13" s="44" t="str">
        <f>IF(LEN(VLOOKUP(A13,'Species List'!$A:$G,2,FALSE))=0,"",VLOOKUP(A13,'Species List'!$A:$G,2,FALSE))</f>
        <v>awl aster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 t="str">
        <f>VLOOKUP(A13,'Species List'!$A:$G,7,FALSE)</f>
        <v>W</v>
      </c>
      <c r="J13" s="13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0.12820512820512819</v>
      </c>
      <c r="O13" s="97">
        <f t="shared" ref="O13:O75" si="6">D13*N13</f>
        <v>0.12820512820512819</v>
      </c>
    </row>
    <row r="14" spans="1:15" x14ac:dyDescent="0.2">
      <c r="A14" s="133" t="s">
        <v>4202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2.564102564102564E-2</v>
      </c>
      <c r="O14" s="97">
        <f t="shared" si="6"/>
        <v>2.564102564102564E-2</v>
      </c>
    </row>
    <row r="15" spans="1:15" x14ac:dyDescent="0.2">
      <c r="A15" s="133" t="s">
        <v>4686</v>
      </c>
      <c r="B15" s="44" t="str">
        <f>IF(LEN(VLOOKUP(A15,'Species List'!$A:$G,2,FALSE))=0,"",VLOOKUP(A15,'Species List'!$A:$G,2,FALSE))</f>
        <v>Culver's root</v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35" t="s">
        <v>5394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2.564102564102564E-2</v>
      </c>
      <c r="O15" s="97">
        <f t="shared" si="6"/>
        <v>0.15384615384615385</v>
      </c>
    </row>
    <row r="16" spans="1:15" x14ac:dyDescent="0.2">
      <c r="A16" s="133" t="s">
        <v>5445</v>
      </c>
      <c r="B16" s="44" t="str">
        <f>IF(LEN(VLOOKUP(A16,'Species List'!$A:$G,2,FALSE))=0,"",VLOOKUP(A16,'Species List'!$A:$G,2,FALSE))</f>
        <v>tall thimbleweed</v>
      </c>
      <c r="C16" s="44">
        <f>IF(LEN(VLOOKUP(A16,'Species List'!$A:$G,3,FALSE))=0,"",VLOOKUP(A16,'Species List'!$A:$G,3,FALSE))</f>
        <v>7</v>
      </c>
      <c r="D16" s="98">
        <f t="shared" si="4"/>
        <v>7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2.564102564102564E-2</v>
      </c>
      <c r="O16" s="97">
        <f t="shared" si="6"/>
        <v>0.17948717948717949</v>
      </c>
    </row>
    <row r="17" spans="1:15" x14ac:dyDescent="0.2">
      <c r="A17" s="133" t="s">
        <v>1371</v>
      </c>
      <c r="B17" s="44" t="str">
        <f>IF(LEN(VLOOKUP(A17,'Species List'!$A:$G,2,FALSE))=0,"",VLOOKUP(A17,'Species List'!$A:$G,2,FALSE))</f>
        <v>Canada thistle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5" t="s">
        <v>5394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2.564102564102564E-2</v>
      </c>
      <c r="O17" s="97">
        <f t="shared" si="6"/>
        <v>0</v>
      </c>
    </row>
    <row r="18" spans="1:15" x14ac:dyDescent="0.2">
      <c r="A18" s="133" t="s">
        <v>4458</v>
      </c>
      <c r="B18" s="44" t="str">
        <f>IF(LEN(VLOOKUP(A18,'Species List'!$A:$G,2,FALSE))=0,"",VLOOKUP(A18,'Species List'!$A:$G,2,FALSE))</f>
        <v>common dandelion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35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2.564102564102564E-2</v>
      </c>
      <c r="O18" s="97">
        <f t="shared" si="6"/>
        <v>0</v>
      </c>
    </row>
    <row r="19" spans="1:15" x14ac:dyDescent="0.2">
      <c r="A19" s="133" t="s">
        <v>4660</v>
      </c>
      <c r="B19" s="44" t="str">
        <f>IF(LEN(VLOOKUP(A19,'Species List'!$A:$G,2,FALSE))=0,"",VLOOKUP(A19,'Species List'!$A:$G,2,FALSE))</f>
        <v>bunched ironweed</v>
      </c>
      <c r="C19" s="44">
        <f>IF(LEN(VLOOKUP(A19,'Species List'!$A:$G,3,FALSE))=0,"",VLOOKUP(A19,'Species List'!$A:$G,3,FALSE))</f>
        <v>5</v>
      </c>
      <c r="D19" s="98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35" t="s">
        <v>5394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2.564102564102564E-2</v>
      </c>
      <c r="O19" s="97">
        <f t="shared" si="6"/>
        <v>0.12820512820512819</v>
      </c>
    </row>
    <row r="20" spans="1:15" x14ac:dyDescent="0.2">
      <c r="A20" s="133" t="s">
        <v>5456</v>
      </c>
      <c r="B20" s="44" t="e">
        <f>IF(LEN(VLOOKUP(A20,'Species List'!$A:$G,2,FALSE))=0,"",VLOOKUP(A20,'Species List'!$A:$G,2,FALSE))</f>
        <v>#N/A</v>
      </c>
      <c r="C20" s="44">
        <v>6</v>
      </c>
      <c r="D20" s="98">
        <f t="shared" si="4"/>
        <v>6</v>
      </c>
      <c r="E20" s="44" t="s">
        <v>149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35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2.564102564102564E-2</v>
      </c>
      <c r="O20" s="97">
        <f t="shared" si="6"/>
        <v>0.15384615384615385</v>
      </c>
    </row>
    <row r="21" spans="1:15" x14ac:dyDescent="0.2">
      <c r="A21" s="133" t="s">
        <v>2662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7</v>
      </c>
      <c r="D21" s="98">
        <f t="shared" si="4"/>
        <v>7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35" t="s">
        <v>5396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97">
        <f t="shared" si="2"/>
        <v>4.2735042735042739E-3</v>
      </c>
      <c r="O21" s="97">
        <f t="shared" si="6"/>
        <v>2.9914529914529919E-2</v>
      </c>
    </row>
    <row r="22" spans="1:15" x14ac:dyDescent="0.2">
      <c r="A22" s="133" t="s">
        <v>1977</v>
      </c>
      <c r="B22" s="44" t="str">
        <f>IF(LEN(VLOOKUP(A22,'Species List'!$A:$G,2,FALSE))=0,"",VLOOKUP(A22,'Species List'!$A:$G,2,FALSE))</f>
        <v>annual fleabane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35" t="s">
        <v>5394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2.564102564102564E-2</v>
      </c>
      <c r="O22" s="97">
        <f t="shared" si="6"/>
        <v>0</v>
      </c>
    </row>
    <row r="23" spans="1:15" x14ac:dyDescent="0.2">
      <c r="A23" s="133" t="s">
        <v>3873</v>
      </c>
      <c r="B23" s="44" t="str">
        <f>IF(LEN(VLOOKUP(A23,'Species List'!$A:$G,2,FALSE))=0,"",VLOOKUP(A23,'Species List'!$A:$G,2,FALSE))</f>
        <v>black-eyed susan</v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">
        <v>149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35" t="s">
        <v>5394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2.564102564102564E-2</v>
      </c>
      <c r="O23" s="97">
        <f t="shared" si="6"/>
        <v>0.10256410256410256</v>
      </c>
    </row>
    <row r="24" spans="1:15" x14ac:dyDescent="0.2">
      <c r="A24" s="133" t="s">
        <v>320</v>
      </c>
      <c r="B24" s="44" t="str">
        <f>IF(LEN(VLOOKUP(A24,'Species List'!$A:$G,2,FALSE))=0,"",VLOOKUP(A24,'Species List'!$A:$G,2,FALSE))</f>
        <v>common ragweed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5" t="s">
        <v>5394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2.564102564102564E-2</v>
      </c>
      <c r="O24" s="97">
        <f t="shared" si="6"/>
        <v>0</v>
      </c>
    </row>
    <row r="25" spans="1:15" x14ac:dyDescent="0.2">
      <c r="A25" s="133" t="s">
        <v>2240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6</v>
      </c>
      <c r="D25" s="98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35" t="s">
        <v>5394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2.564102564102564E-2</v>
      </c>
      <c r="O25" s="97">
        <f t="shared" si="6"/>
        <v>0.15384615384615385</v>
      </c>
    </row>
    <row r="26" spans="1:15" x14ac:dyDescent="0.2">
      <c r="A26" s="114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2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97" t="e">
        <f t="shared" si="2"/>
        <v>#N/A</v>
      </c>
      <c r="O26" s="97" t="e">
        <f t="shared" si="6"/>
        <v>#N/A</v>
      </c>
    </row>
    <row r="27" spans="1:15" x14ac:dyDescent="0.2">
      <c r="A27" s="114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2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2"/>
        <v>#N/A</v>
      </c>
      <c r="O27" s="97" t="e">
        <f t="shared" si="6"/>
        <v>#N/A</v>
      </c>
    </row>
    <row r="28" spans="1:15" x14ac:dyDescent="0.2">
      <c r="A28" s="114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2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2"/>
        <v>#N/A</v>
      </c>
      <c r="O28" s="97" t="e">
        <f t="shared" si="6"/>
        <v>#N/A</v>
      </c>
    </row>
    <row r="29" spans="1:15" x14ac:dyDescent="0.2">
      <c r="A29" s="114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2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4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2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4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2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4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4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4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4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4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4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4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4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4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4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3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4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3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4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3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4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3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4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3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4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8" t="s">
        <v>5363</v>
      </c>
      <c r="J150" s="159"/>
      <c r="K150" s="160"/>
      <c r="L150" s="63">
        <f>SUMIF(L10:L149,"&gt;=0")</f>
        <v>117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I12" sqref="I1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5407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7"/>
      <c r="C7" s="157"/>
      <c r="D7" s="157"/>
      <c r="E7" s="15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3437</v>
      </c>
      <c r="B10" s="44" t="str">
        <f>IF(LEN(VLOOKUP(A10,'Species List'!$A:$G,2,FALSE))=0,"",VLOOKUP(A10,'Species List'!$A:$G,2,FALSE))</f>
        <v>Kentucky bluegrass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7">
        <f t="shared" ref="N10:N75" si="2">L10/$L$151</f>
        <v>0.54545454545454541</v>
      </c>
      <c r="O10" s="107">
        <f t="shared" ref="O10:O76" si="3">D10*N10</f>
        <v>0</v>
      </c>
    </row>
    <row r="11" spans="1:15" x14ac:dyDescent="0.2">
      <c r="A11" s="133" t="s">
        <v>1889</v>
      </c>
      <c r="B11" s="44" t="str">
        <f>IF(LEN(VLOOKUP(A11,'Species List'!$A:$G,2,FALSE))=0,"",VLOOKUP(A11,'Species List'!$A:$G,2,FALSE))</f>
        <v>Virginia wildrye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35" t="s">
        <v>5394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0.10909090909090909</v>
      </c>
      <c r="O11" s="107">
        <f t="shared" si="3"/>
        <v>0.43636363636363634</v>
      </c>
    </row>
    <row r="12" spans="1:15" x14ac:dyDescent="0.2">
      <c r="A12" s="133" t="s">
        <v>5440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5" t="s">
        <v>5394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0.10909090909090909</v>
      </c>
      <c r="O12" s="106">
        <f t="shared" si="3"/>
        <v>0.32727272727272727</v>
      </c>
    </row>
    <row r="13" spans="1:15" x14ac:dyDescent="0.2">
      <c r="A13" s="133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0.10909090909090909</v>
      </c>
      <c r="O13" s="97">
        <f t="shared" si="3"/>
        <v>0</v>
      </c>
    </row>
    <row r="14" spans="1:15" x14ac:dyDescent="0.2">
      <c r="A14" s="133" t="s">
        <v>373</v>
      </c>
      <c r="B14" s="44" t="str">
        <f>IF(LEN(VLOOKUP(A14,'Species List'!$A:$G,2,FALSE))=0,"",VLOOKUP(A14,'Species List'!$A:$G,2,FALSE))</f>
        <v>big bluestem</v>
      </c>
      <c r="C14" s="44">
        <f>IF(LEN(VLOOKUP(A14,'Species List'!$A:$G,3,FALSE))=0,"",VLOOKUP(A14,'Species List'!$A:$G,3,FALSE))</f>
        <v>4</v>
      </c>
      <c r="D14" s="98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FAC-</v>
      </c>
      <c r="H14" s="44">
        <f>VLOOKUP(A14,'Species List'!$A:$G,7,FALSE)</f>
        <v>0</v>
      </c>
      <c r="J14" s="135" t="s">
        <v>5396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1"/>
        <v>0.5</v>
      </c>
      <c r="N14" s="97">
        <f t="shared" si="2"/>
        <v>1.8181818181818181E-2</v>
      </c>
      <c r="O14" s="97">
        <f t="shared" si="3"/>
        <v>7.2727272727272724E-2</v>
      </c>
    </row>
    <row r="15" spans="1:15" x14ac:dyDescent="0.2">
      <c r="A15" s="133" t="s">
        <v>900</v>
      </c>
      <c r="B15" s="44" t="str">
        <f>IF(LEN(VLOOKUP(A15,'Species List'!$A:$G,2,FALSE))=0,"",VLOOKUP(A15,'Species List'!$A:$G,2,FALSE))</f>
        <v>yellow-fruit sedge</v>
      </c>
      <c r="C15" s="44">
        <f>IF(LEN(VLOOKUP(A15,'Species List'!$A:$G,3,FALSE))=0,"",VLOOKUP(A15,'Species List'!$A:$G,3,FALSE))</f>
        <v>3</v>
      </c>
      <c r="D15" s="98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 t="str">
        <f>VLOOKUP(A15,'Species List'!$A:$G,7,FALSE)</f>
        <v>SC</v>
      </c>
      <c r="J15" s="135" t="s">
        <v>5394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0.10909090909090909</v>
      </c>
      <c r="O15" s="97">
        <f t="shared" si="3"/>
        <v>0.32727272727272727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8" t="s">
        <v>5363</v>
      </c>
      <c r="J151" s="159"/>
      <c r="K151" s="160"/>
      <c r="L151" s="63">
        <f>SUMIF(L10:L150,"&gt;=0")</f>
        <v>27.5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27C7-B82F-461F-BEDB-85C514C9E6CE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10" sqref="F10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1" t="s">
        <v>4829</v>
      </c>
      <c r="B1" s="161"/>
      <c r="C1" s="161"/>
      <c r="D1" s="161"/>
      <c r="E1" s="161"/>
      <c r="F1" s="161"/>
    </row>
    <row r="2" spans="1:6" s="31" customFormat="1" ht="24" customHeight="1" thickTop="1" thickBot="1" x14ac:dyDescent="0.4">
      <c r="A2" s="55"/>
      <c r="B2" s="56" t="s">
        <v>5406</v>
      </c>
      <c r="C2" s="56" t="s">
        <v>5402</v>
      </c>
      <c r="D2" s="56" t="s">
        <v>5403</v>
      </c>
      <c r="E2" s="56" t="s">
        <v>5404</v>
      </c>
      <c r="F2" s="56" t="s">
        <v>5405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5397</v>
      </c>
      <c r="B4" s="101">
        <f>COUNTIF(Woody!$F$10:$F$149,"Native")</f>
        <v>3</v>
      </c>
      <c r="C4" s="101">
        <f>COUNTIF(Forbs!$F$10:$F$147,"Native")</f>
        <v>14</v>
      </c>
      <c r="D4" s="101">
        <f>COUNTIF(Grasses!$F$10:$F$149,"Native")</f>
        <v>4</v>
      </c>
      <c r="E4" s="101">
        <f>AVERAGE(B4:D4)</f>
        <v>7</v>
      </c>
      <c r="F4" s="101">
        <f>SUM(B4:D4)</f>
        <v>21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2</v>
      </c>
      <c r="D5" s="101">
        <f>COUNTIF(Grasses!$F10:$F199,"Introduced")</f>
        <v>2</v>
      </c>
      <c r="E5" s="101">
        <f t="shared" ref="E5:E6" si="0">AVERAGE(B5:D5)</f>
        <v>2.3333333333333335</v>
      </c>
      <c r="F5" s="101">
        <f>SUM(B5:D5)</f>
        <v>7</v>
      </c>
    </row>
    <row r="6" spans="1:6" s="81" customFormat="1" ht="21" x14ac:dyDescent="0.35">
      <c r="A6" s="53" t="s">
        <v>5398</v>
      </c>
      <c r="B6" s="101">
        <f>SUM(B4:B5)</f>
        <v>6</v>
      </c>
      <c r="C6" s="101">
        <f>SUM(C4:C5)</f>
        <v>16</v>
      </c>
      <c r="D6" s="101">
        <f>SUM(D4:D5)</f>
        <v>6</v>
      </c>
      <c r="E6" s="101">
        <f t="shared" si="0"/>
        <v>9.3333333333333339</v>
      </c>
      <c r="F6" s="101">
        <f>SUM(B6:D6)</f>
        <v>28</v>
      </c>
    </row>
    <row r="7" spans="1:6" ht="18" x14ac:dyDescent="0.25">
      <c r="A7" s="53" t="s">
        <v>4835</v>
      </c>
      <c r="B7" s="101">
        <f>AVERAGEIF(Woody!D10:D150,"&gt;0")</f>
        <v>1.6666666666666667</v>
      </c>
      <c r="C7" s="101">
        <f>AVERAGEIF(Forbs!D10:D149,"&gt;0")</f>
        <v>4.833333333333333</v>
      </c>
      <c r="D7" s="101">
        <f>AVERAGEIF(Grasses!D10:D150,"&gt;0")</f>
        <v>3.5</v>
      </c>
      <c r="E7" s="101">
        <f>AVERAGE(B7:D7)</f>
        <v>3.3333333333333335</v>
      </c>
      <c r="F7" s="101">
        <f>(SUMIF(Woody!D10:D150,"&gt;0")+SUMIF(Forbs!D10:D149,"&gt;0")+SUMIF(Grasses!D10:D150,"&gt;0"))/(COUNTIF(Woody!D10:D150,"&gt;0")+COUNTIF(Forbs!D10:D149,"&gt;0")+COUNTIF(Grasses!D10:D150,"&gt;0"))</f>
        <v>4.0526315789473681</v>
      </c>
    </row>
    <row r="8" spans="1:6" s="31" customFormat="1" ht="21" x14ac:dyDescent="0.35">
      <c r="A8" s="53" t="s">
        <v>5399</v>
      </c>
      <c r="B8" s="101">
        <f>AVERAGEIF(Woody!D10:D150,"&gt;=0")</f>
        <v>0.83333333333333337</v>
      </c>
      <c r="C8" s="101">
        <f>AVERAGEIF(Forbs!D10:D149,"&gt;=0")</f>
        <v>3.625</v>
      </c>
      <c r="D8" s="101">
        <f>AVERAGEIF(Grasses!D10:D150,"&gt;=0")</f>
        <v>2.3333333333333335</v>
      </c>
      <c r="E8" s="101">
        <f>AVERAGE(B8:D8)</f>
        <v>2.2638888888888888</v>
      </c>
      <c r="F8" s="101">
        <f>(SUMIF(Woody!D10:D150,"&gt;=0")+SUMIF(Forbs!D10:D149,"&gt;=0")+SUMIF(Grasses!D10:D150,"&gt;=0"))/(COUNTIF(Woody!D10:D150,"&gt;=0")+COUNTIF(Forbs!D10:D149,"&gt;=0")+COUNTIF(Grasses!D10:D150,"&gt;=0"))</f>
        <v>2.75</v>
      </c>
    </row>
    <row r="9" spans="1:6" ht="18" x14ac:dyDescent="0.25">
      <c r="A9" s="53" t="s">
        <v>4828</v>
      </c>
      <c r="B9" s="101">
        <f>SQRT(B4)*B7</f>
        <v>2.8867513459481287</v>
      </c>
      <c r="C9" s="101">
        <f>SQRT(C4)*C7</f>
        <v>18.08467736940738</v>
      </c>
      <c r="D9" s="101">
        <f>SQRT(D4)*D7</f>
        <v>7</v>
      </c>
      <c r="E9" s="101">
        <f>SQRT(E4)*E7</f>
        <v>8.8191710368819702</v>
      </c>
      <c r="F9" s="101">
        <f>SQRT(F4)*F7</f>
        <v>18.571490974294719</v>
      </c>
    </row>
    <row r="10" spans="1:6" s="82" customFormat="1" ht="21" x14ac:dyDescent="0.35">
      <c r="A10" s="53" t="s">
        <v>5400</v>
      </c>
      <c r="B10" s="101">
        <f>SQRT(B6)*B8</f>
        <v>2.0412414523193152</v>
      </c>
      <c r="C10" s="101">
        <f>SQRT(C6)*C8</f>
        <v>14.5</v>
      </c>
      <c r="D10" s="101">
        <f>SQRT(D6)*D8</f>
        <v>5.715476066494082</v>
      </c>
      <c r="E10" s="101">
        <f>SQRT(E6)*E8</f>
        <v>6.9162947988685364</v>
      </c>
      <c r="F10" s="101">
        <f>SQRT(F6)*F8</f>
        <v>14.551632210855249</v>
      </c>
    </row>
    <row r="11" spans="1:6" ht="18" x14ac:dyDescent="0.25">
      <c r="A11" s="53" t="s">
        <v>4836</v>
      </c>
      <c r="B11" s="101">
        <f>SUMIF(Woody!$M$10:$M$150,"&gt;=0")</f>
        <v>13</v>
      </c>
      <c r="C11" s="101">
        <f>SUMIF(Forbs!$M$10:$M$150,"&gt;=0")</f>
        <v>117</v>
      </c>
      <c r="D11" s="101">
        <f>SUMIF(Grasses!$M$10:$M$150,"&gt;=0")</f>
        <v>27.5</v>
      </c>
      <c r="E11" s="101">
        <f>AVERAGE(B11:D11)</f>
        <v>52.5</v>
      </c>
      <c r="F11" s="101">
        <f>SUM(B11:D11)</f>
        <v>157.5</v>
      </c>
    </row>
    <row r="12" spans="1:6" ht="18" x14ac:dyDescent="0.25">
      <c r="A12" s="53" t="s">
        <v>5364</v>
      </c>
      <c r="B12" s="101">
        <f>SUMIF(Woody!$F$10:$F$150,"Introduced",Woody!$L$10:$L$150)</f>
        <v>6.5</v>
      </c>
      <c r="C12" s="101">
        <f>SUMIF(Forbs!$F$10:$F$150,"Introduced",Forbs!$L$10:$L$150)</f>
        <v>6</v>
      </c>
      <c r="D12" s="101">
        <f>SUMIF(Grasses!$F$10:$F$150,"Introduced",Grasses!$L$10:$L$150)</f>
        <v>18</v>
      </c>
      <c r="E12" s="101">
        <f>AVERAGE(B12:D12)</f>
        <v>10.166666666666666</v>
      </c>
      <c r="F12" s="101">
        <f>SUM(B12:D12)</f>
        <v>30.5</v>
      </c>
    </row>
    <row r="13" spans="1:6" ht="18.75" thickBot="1" x14ac:dyDescent="0.3">
      <c r="A13" s="54" t="s">
        <v>4837</v>
      </c>
      <c r="B13" s="102">
        <f>B12/B11</f>
        <v>0.5</v>
      </c>
      <c r="C13" s="102">
        <f>C12/C11</f>
        <v>5.128205128205128E-2</v>
      </c>
      <c r="D13" s="102">
        <f>D12/D11</f>
        <v>0.65454545454545454</v>
      </c>
      <c r="E13" s="102">
        <f>E12/E11</f>
        <v>0.19365079365079363</v>
      </c>
      <c r="F13" s="102">
        <f>F12/F11</f>
        <v>0.19365079365079366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0.57692307692307698</v>
      </c>
      <c r="C15" s="100">
        <f>SUMIF(Forbs!$O$10:$O$149,"&gt;=0")</f>
        <v>3.9829059829059821</v>
      </c>
      <c r="D15" s="100">
        <f>SUMIF(Grasses!$O$10:$O$150,"&gt;=0")</f>
        <v>1.1636363636363636</v>
      </c>
      <c r="E15" s="100">
        <f>AVERAGE(B15:D15)</f>
        <v>1.9078218078218072</v>
      </c>
      <c r="F15" s="101">
        <f>SUM(B15:D15)</f>
        <v>5.7234654234654219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2025-11-25T03:14:01Z</dcterms:modified>
</cp:coreProperties>
</file>