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mmab3\Documents\GitHub\DCVegMon\data\2022 data\LBRP\"/>
    </mc:Choice>
  </mc:AlternateContent>
  <xr:revisionPtr revIDLastSave="0" documentId="13_ncr:1_{ABAEAF8D-6490-4445-8A4C-6890E009BD86}" xr6:coauthVersionLast="47" xr6:coauthVersionMax="47" xr10:uidLastSave="{00000000-0000-0000-0000-000000000000}"/>
  <bookViews>
    <workbookView xWindow="1170" yWindow="1170" windowWidth="16410" windowHeight="11295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E12" i="6"/>
  <c r="C12" i="6"/>
  <c r="D12" i="6" s="1"/>
  <c r="D13" i="6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M152" i="10"/>
  <c r="O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<sst xmlns="http://schemas.openxmlformats.org/spreadsheetml/2006/main" count="13140" uniqueCount="5451">
  <si>
    <t>a</t>
    <phoneticPr fontId="9" type="noConversion"/>
  </si>
  <si>
    <t>b</t>
    <phoneticPr fontId="9" type="noConversion"/>
  </si>
  <si>
    <t>C</t>
    <phoneticPr fontId="9" type="noConversion"/>
  </si>
  <si>
    <t>E</t>
    <phoneticPr fontId="9" type="noConversion"/>
  </si>
  <si>
    <t>0.5-2m</t>
    <phoneticPr fontId="9" type="noConversion"/>
  </si>
  <si>
    <t>0.1-0.5m</t>
    <phoneticPr fontId="9" type="noConversion"/>
  </si>
  <si>
    <t>0-0.1m</t>
    <phoneticPr fontId="9" type="noConversion"/>
  </si>
  <si>
    <t>small colonies, broken mat</t>
    <phoneticPr fontId="9" type="noConversion"/>
  </si>
  <si>
    <t>large group, many plants</t>
    <phoneticPr fontId="9" type="noConversion"/>
  </si>
  <si>
    <t>small dense clumps</t>
    <phoneticPr fontId="9" type="noConversion"/>
  </si>
  <si>
    <t>growing singly</t>
    <phoneticPr fontId="9" type="noConversion"/>
  </si>
  <si>
    <t>Thatch:</t>
    <phoneticPr fontId="9" type="noConversion"/>
  </si>
  <si>
    <t>c</t>
    <phoneticPr fontId="9" type="noConversion"/>
  </si>
  <si>
    <t>i</t>
    <phoneticPr fontId="9" type="noConversion"/>
  </si>
  <si>
    <t>p</t>
    <phoneticPr fontId="9" type="noConversion"/>
  </si>
  <si>
    <t>r</t>
    <phoneticPr fontId="9" type="noConversion"/>
  </si>
  <si>
    <t>50-75%</t>
    <phoneticPr fontId="9" type="noConversion"/>
  </si>
  <si>
    <t>25-50%</t>
    <phoneticPr fontId="9" type="noConversion"/>
  </si>
  <si>
    <t>5-25%</t>
    <phoneticPr fontId="9" type="noConversion"/>
  </si>
  <si>
    <t>1-5%</t>
    <phoneticPr fontId="9" type="noConversion"/>
  </si>
  <si>
    <t>Extensive mat</t>
    <phoneticPr fontId="9" type="noConversion"/>
  </si>
  <si>
    <t>Abundance</t>
    <phoneticPr fontId="9" type="noConversion"/>
  </si>
  <si>
    <t>Group</t>
    <phoneticPr fontId="9" type="noConversion"/>
  </si>
  <si>
    <t>B</t>
    <phoneticPr fontId="9" type="noConversion"/>
  </si>
  <si>
    <t>D</t>
    <phoneticPr fontId="9" type="noConversion"/>
  </si>
  <si>
    <t>G</t>
    <phoneticPr fontId="9" type="noConversion"/>
  </si>
  <si>
    <t>H</t>
    <phoneticPr fontId="9" type="noConversion"/>
  </si>
  <si>
    <t>L</t>
    <phoneticPr fontId="9" type="noConversion"/>
  </si>
  <si>
    <t>K</t>
    <phoneticPr fontId="9" type="noConversion"/>
  </si>
  <si>
    <t>X</t>
    <phoneticPr fontId="9" type="noConversion"/>
  </si>
  <si>
    <t>Broadleaf evergreen</t>
    <phoneticPr fontId="9" type="noConversion"/>
  </si>
  <si>
    <t>Broadleaf deciduous</t>
    <phoneticPr fontId="9" type="noConversion"/>
  </si>
  <si>
    <t>Needleleaf evergreen</t>
    <phoneticPr fontId="9" type="noConversion"/>
  </si>
  <si>
    <t>Graminoids</t>
    <phoneticPr fontId="9" type="noConversion"/>
  </si>
  <si>
    <t>Forbs</t>
    <phoneticPr fontId="9" type="noConversion"/>
  </si>
  <si>
    <t>Lichens &amp; mosses</t>
    <phoneticPr fontId="9" type="noConversion"/>
  </si>
  <si>
    <t>Climbers</t>
    <phoneticPr fontId="9" type="noConversion"/>
  </si>
  <si>
    <t>Stem succulents</t>
    <phoneticPr fontId="9" type="noConversion"/>
  </si>
  <si>
    <t>Epiphytes</t>
    <phoneticPr fontId="9" type="noConversion"/>
  </si>
  <si>
    <t xml:space="preserve"> +</t>
    <phoneticPr fontId="9" type="noConversion"/>
  </si>
  <si>
    <t>&lt;5% cover, many individuals</t>
    <phoneticPr fontId="9" type="noConversion"/>
  </si>
  <si>
    <t>&lt;5% cover, few (2-20) individuals</t>
    <phoneticPr fontId="9" type="noConversion"/>
  </si>
  <si>
    <t>&lt;5% cover, single</t>
    <phoneticPr fontId="9" type="noConversion"/>
  </si>
  <si>
    <t>Life Form</t>
    <phoneticPr fontId="9" type="noConversion"/>
  </si>
  <si>
    <t>Height</t>
    <phoneticPr fontId="9" type="noConversion"/>
  </si>
  <si>
    <t>Sociability</t>
    <phoneticPr fontId="9" type="noConversion"/>
  </si>
  <si>
    <t>&gt;35m</t>
    <phoneticPr fontId="9" type="noConversion"/>
  </si>
  <si>
    <t>20-35m</t>
    <phoneticPr fontId="9" type="noConversion"/>
  </si>
  <si>
    <t>10-20m</t>
    <phoneticPr fontId="9" type="noConversion"/>
  </si>
  <si>
    <t>5-10m</t>
    <phoneticPr fontId="9" type="noConversion"/>
  </si>
  <si>
    <t>2-5m</t>
    <phoneticPr fontId="9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</si>
  <si>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</si>
  <si>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</si>
  <si>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</si>
  <si>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</si>
  <si>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</si>
  <si>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</si>
  <si>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</si>
  <si>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</si>
  <si>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</si>
  <si>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</si>
  <si>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</si>
  <si>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</si>
  <si>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</si>
  <si>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</si>
  <si>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</si>
  <si>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</si>
  <si>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</si>
  <si>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</si>
  <si>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</si>
  <si>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</si>
  <si>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</si>
  <si>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</si>
  <si>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</si>
  <si>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</si>
  <si>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</si>
  <si>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</si>
  <si>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</si>
  <si>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</si>
  <si>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</si>
  <si>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</si>
  <si>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</si>
  <si>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</si>
  <si>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</si>
  <si>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</si>
  <si>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</si>
  <si>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</si>
  <si>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</si>
  <si>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</si>
  <si>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</si>
  <si>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</si>
  <si>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</si>
  <si>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</si>
  <si>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</si>
  <si>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</si>
  <si>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</si>
  <si>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</si>
  <si>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</si>
  <si>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</si>
  <si>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</si>
  <si>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</si>
  <si>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</si>
  <si>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</si>
  <si>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</si>
  <si>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</si>
  <si>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</si>
  <si>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</si>
  <si>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</si>
  <si>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</si>
  <si>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</si>
  <si>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</si>
  <si>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</si>
  <si>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</si>
  <si>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</si>
  <si>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</si>
  <si>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</si>
  <si>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</si>
  <si>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</si>
  <si>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</si>
  <si>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</si>
  <si>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</si>
  <si>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</si>
  <si>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</si>
  <si>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</si>
  <si>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</si>
  <si>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</si>
  <si>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</si>
  <si>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</si>
  <si>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</si>
  <si>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</si>
  <si>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</si>
  <si>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</si>
  <si>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</si>
  <si>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</si>
  <si>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</si>
  <si>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</si>
  <si>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</si>
  <si>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</si>
  <si>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</si>
  <si>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</si>
  <si>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</si>
  <si>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</si>
  <si>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</si>
  <si>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</si>
  <si>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</si>
  <si>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</si>
  <si>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</si>
  <si>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</si>
  <si>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</si>
  <si>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</si>
  <si>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</si>
  <si>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</si>
  <si>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</si>
  <si>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</si>
  <si>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</si>
  <si>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</si>
  <si>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</si>
  <si>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</si>
  <si>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</si>
  <si>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</si>
  <si>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</si>
  <si>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</si>
  <si>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</si>
  <si>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</si>
  <si>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</si>
  <si>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</si>
  <si>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</si>
  <si>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</si>
  <si>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</si>
  <si>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</si>
  <si>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</si>
  <si>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</si>
  <si>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</si>
  <si>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</si>
  <si>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</si>
  <si>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</si>
  <si>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</si>
  <si>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</si>
  <si>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</si>
  <si>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</si>
  <si>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</si>
  <si>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</si>
  <si>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</si>
  <si>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</si>
  <si>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</si>
  <si>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</si>
  <si>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</si>
  <si>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</si>
  <si>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</si>
  <si>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</si>
  <si>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</si>
  <si>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</si>
  <si>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</si>
  <si>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</si>
  <si>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</si>
  <si>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</si>
  <si>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</si>
  <si>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</si>
  <si>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</si>
  <si>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</si>
  <si>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</si>
  <si>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</si>
  <si>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</si>
  <si>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</si>
  <si>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</si>
  <si>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</si>
  <si>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</si>
  <si>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</si>
  <si>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</si>
  <si>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</si>
  <si>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</si>
  <si>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</si>
  <si>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</si>
  <si>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</si>
  <si>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</si>
  <si>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</si>
  <si>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</si>
  <si>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</si>
  <si>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</si>
  <si>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</si>
  <si>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</si>
  <si>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</si>
  <si>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</si>
  <si>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</si>
  <si>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</si>
  <si>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</si>
  <si>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</si>
  <si>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</si>
  <si>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</si>
  <si>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</si>
  <si>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</si>
  <si>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</si>
  <si>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</si>
  <si>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</si>
  <si>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</si>
  <si>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</si>
  <si>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</si>
  <si>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</si>
  <si>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</si>
  <si>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</si>
  <si>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</si>
  <si>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</si>
  <si>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</si>
  <si>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</si>
  <si>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</si>
  <si>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</si>
  <si>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</si>
  <si>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</si>
  <si>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</si>
  <si>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</si>
  <si>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</si>
  <si>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</si>
  <si>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</si>
  <si>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</si>
  <si>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</si>
  <si>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</si>
  <si>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</si>
  <si>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</si>
  <si>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</si>
  <si>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</si>
  <si>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</si>
  <si>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</si>
  <si>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</si>
  <si>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</si>
  <si>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</si>
  <si>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</si>
  <si>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</si>
  <si>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</si>
  <si>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</si>
  <si>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</si>
  <si>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</si>
  <si>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</si>
  <si>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</si>
  <si>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</si>
  <si>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</si>
  <si>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</si>
  <si>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</si>
  <si>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</si>
  <si>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</si>
  <si>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</si>
  <si>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</si>
  <si>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</si>
  <si>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</si>
  <si>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</si>
  <si>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</si>
  <si>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</si>
  <si>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</si>
  <si>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</si>
  <si>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</si>
  <si>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</si>
  <si>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</si>
  <si>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</si>
  <si>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</si>
  <si>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</si>
  <si>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</si>
  <si>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</si>
  <si>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</si>
  <si>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</si>
  <si>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</si>
  <si>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</si>
  <si>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</si>
  <si>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</si>
  <si>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</si>
  <si>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</si>
  <si>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</si>
  <si>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</si>
  <si>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</si>
  <si>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</si>
  <si>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</si>
  <si>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</si>
  <si>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</si>
  <si>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</si>
  <si>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</si>
  <si>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</si>
  <si>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</si>
  <si>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</si>
  <si>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</si>
  <si>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</si>
  <si>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</si>
  <si>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</si>
  <si>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</si>
  <si>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</si>
  <si>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</si>
  <si>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</si>
  <si>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</si>
  <si>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</si>
  <si>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</si>
  <si>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</si>
  <si>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</si>
  <si>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</si>
  <si>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</si>
  <si>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</si>
  <si>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</si>
  <si>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</si>
  <si>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</si>
  <si>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</si>
  <si>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</si>
  <si>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</si>
  <si>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</si>
  <si>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</si>
  <si>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</si>
  <si>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</si>
  <si>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</si>
  <si>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</si>
  <si>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</si>
  <si>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</si>
  <si>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</si>
  <si>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</si>
  <si>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</si>
  <si>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</si>
  <si>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</si>
  <si>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</si>
  <si>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</si>
  <si>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</si>
  <si>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</si>
  <si>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</si>
  <si>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</si>
  <si>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</si>
  <si>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</si>
  <si>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</si>
  <si>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</si>
  <si>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</si>
  <si>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</si>
  <si>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</si>
  <si>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</si>
  <si>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</si>
  <si>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</si>
  <si>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</si>
  <si>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</si>
  <si>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</si>
  <si>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</si>
  <si>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</si>
  <si>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</si>
  <si>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</si>
  <si>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</si>
  <si>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</si>
  <si>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</si>
  <si>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</si>
  <si>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</si>
  <si>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</si>
  <si>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</si>
  <si>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</si>
  <si>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</si>
  <si>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</si>
  <si>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</si>
  <si>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</si>
  <si>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</si>
  <si>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</si>
  <si>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</si>
  <si>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</si>
  <si>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</si>
  <si>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</si>
  <si>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</si>
  <si>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</si>
  <si>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</si>
  <si>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</si>
  <si>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</si>
  <si>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</si>
  <si>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</si>
  <si>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</si>
  <si>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</si>
  <si>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</si>
  <si>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</si>
  <si>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</si>
  <si>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</si>
  <si>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</si>
  <si>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</si>
  <si>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</si>
  <si>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</si>
  <si>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</si>
  <si>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</si>
  <si>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</si>
  <si>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</si>
  <si>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</si>
  <si>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</si>
  <si>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</si>
  <si>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</si>
  <si>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</si>
  <si>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</si>
  <si>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</si>
  <si>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</si>
  <si>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</si>
  <si>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</si>
  <si>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</si>
  <si>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</si>
  <si>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</si>
  <si>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</si>
  <si>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</si>
  <si>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</si>
  <si>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</si>
  <si>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</si>
  <si>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</si>
  <si>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</si>
  <si>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</si>
  <si>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</si>
  <si>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</si>
  <si>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</si>
  <si>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</si>
  <si>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</si>
  <si>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</si>
  <si>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</si>
  <si>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</si>
  <si>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</si>
  <si>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</si>
  <si>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</si>
  <si>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</si>
  <si>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</si>
  <si>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</si>
  <si>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</si>
  <si>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</si>
  <si>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</si>
  <si>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</si>
  <si>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</si>
  <si>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</si>
  <si>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</si>
  <si>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</si>
  <si>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</si>
  <si>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</si>
  <si>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</si>
  <si>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</si>
  <si>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</si>
  <si>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</si>
  <si>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</si>
  <si>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</si>
  <si>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</si>
  <si>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</si>
  <si>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</si>
  <si>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</si>
  <si>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</si>
  <si>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</si>
  <si>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</si>
  <si>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</si>
  <si>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</si>
  <si>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</si>
  <si>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</si>
  <si>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</si>
  <si>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</si>
  <si>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</si>
  <si>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</si>
  <si>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</si>
  <si>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</si>
  <si>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</si>
  <si>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</si>
  <si>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</si>
  <si>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</si>
  <si>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</si>
  <si>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</si>
  <si>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</si>
  <si>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</si>
  <si>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</si>
  <si>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</si>
  <si>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</si>
  <si>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</si>
  <si>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</si>
  <si>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</si>
  <si>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</si>
  <si>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</si>
  <si>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</si>
  <si>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</si>
  <si>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</si>
  <si>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</si>
  <si>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</si>
  <si>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</si>
  <si>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</si>
  <si>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</si>
  <si>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</si>
  <si>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</si>
  <si>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</si>
  <si>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</si>
  <si>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</si>
  <si>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</si>
  <si>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</si>
  <si>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</si>
  <si>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</si>
  <si>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</si>
  <si>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</si>
  <si>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</si>
  <si>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</si>
  <si>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</si>
  <si>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</si>
  <si>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</si>
  <si>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</si>
  <si>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</si>
  <si>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</si>
  <si>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</si>
  <si>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</si>
  <si>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</si>
  <si>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</si>
  <si>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</si>
  <si>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</si>
  <si>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</si>
  <si>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</si>
  <si>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</si>
  <si>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</si>
  <si>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</si>
  <si>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</si>
  <si>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</si>
  <si>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</si>
  <si>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</si>
  <si>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</si>
  <si>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</si>
  <si>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</si>
  <si>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</si>
  <si>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</si>
  <si>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</si>
  <si>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</si>
  <si>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</si>
  <si>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</si>
  <si>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</si>
  <si>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</si>
  <si>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</si>
  <si>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</si>
  <si>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</si>
  <si>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</si>
  <si>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</si>
  <si>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</si>
  <si>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</si>
  <si>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</si>
  <si>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</si>
  <si>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</si>
  <si>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</si>
  <si>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</si>
  <si>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</si>
  <si>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</si>
  <si>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</si>
  <si>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</si>
  <si>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</si>
  <si>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</si>
  <si>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</si>
  <si>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</si>
  <si>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</si>
  <si>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</si>
  <si>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</si>
  <si>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</si>
  <si>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</si>
  <si>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</si>
  <si>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</si>
  <si>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</si>
  <si>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</si>
  <si>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</si>
  <si>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</si>
  <si>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</si>
  <si>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</si>
  <si>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</si>
  <si>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</si>
  <si>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</si>
  <si>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</si>
  <si>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</si>
  <si>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</si>
  <si>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</si>
  <si>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</si>
  <si>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</si>
  <si>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</si>
  <si>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</si>
  <si>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</si>
  <si>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</si>
  <si>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</si>
  <si>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</si>
  <si>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</si>
  <si>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</si>
  <si>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</si>
  <si>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</si>
  <si>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</si>
  <si>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</si>
  <si>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</si>
  <si>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</si>
  <si>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</si>
  <si>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</si>
  <si>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</si>
  <si>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</si>
  <si>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</si>
  <si>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</si>
  <si>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</si>
  <si>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</si>
  <si>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</si>
  <si>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</si>
  <si>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</si>
  <si>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</si>
  <si>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</si>
  <si>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</si>
  <si>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</si>
  <si>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</si>
  <si>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</si>
  <si>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</si>
  <si>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</si>
  <si>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</si>
  <si>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</si>
  <si>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</si>
  <si>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</si>
  <si>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</si>
  <si>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</si>
  <si>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</si>
  <si>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</si>
  <si>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</si>
  <si>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</si>
  <si>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</si>
  <si>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</si>
  <si>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</si>
  <si>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</si>
  <si>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</si>
  <si>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</si>
  <si>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</si>
  <si>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</si>
  <si>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</si>
  <si>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</si>
  <si>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</si>
  <si>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</si>
  <si>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</si>
  <si>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</si>
  <si>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</si>
  <si>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</si>
  <si>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</si>
  <si>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</si>
  <si>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</si>
  <si>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</si>
  <si>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</si>
  <si>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</si>
  <si>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</si>
  <si>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</si>
  <si>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</si>
  <si>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</si>
  <si>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</si>
  <si>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</si>
  <si>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</si>
  <si>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</si>
  <si>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</si>
  <si>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</si>
  <si>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</si>
  <si>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</si>
  <si>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</si>
  <si>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</si>
  <si>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</si>
  <si>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</si>
  <si>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</si>
  <si>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</si>
  <si>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</si>
  <si>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</si>
  <si>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</si>
  <si>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</si>
  <si>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</si>
  <si>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</si>
  <si>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</si>
  <si>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</si>
  <si>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</si>
  <si>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</si>
  <si>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</si>
  <si>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</si>
  <si>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</si>
  <si>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</si>
  <si>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</si>
  <si>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</si>
  <si>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</si>
  <si>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</si>
  <si>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</si>
  <si>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</si>
  <si>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</si>
  <si>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</si>
  <si>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</si>
  <si>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</si>
  <si>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</si>
  <si>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</si>
  <si>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</si>
  <si>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</si>
  <si>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</si>
  <si>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</si>
  <si>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</si>
  <si>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</si>
  <si>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</si>
  <si>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</si>
  <si>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</si>
  <si>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</si>
  <si>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</si>
  <si>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</si>
  <si>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</si>
  <si>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</si>
  <si>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</si>
  <si>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</si>
  <si>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</si>
  <si>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</si>
  <si>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</si>
  <si>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</si>
  <si>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</si>
  <si>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</si>
  <si>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</si>
  <si>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</si>
  <si>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</si>
  <si>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</si>
  <si>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</si>
  <si>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</si>
  <si>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</si>
  <si>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</si>
  <si>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</si>
  <si>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</si>
  <si>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</si>
  <si>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</si>
  <si>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</si>
  <si>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</si>
  <si>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</si>
  <si>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</si>
  <si>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</si>
  <si>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</si>
  <si>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</si>
  <si>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</si>
  <si>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</si>
  <si>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</si>
  <si>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</si>
  <si>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</si>
  <si>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</si>
  <si>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</si>
  <si>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</si>
  <si>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</si>
  <si>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</si>
  <si>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</si>
  <si>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</si>
  <si>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</si>
  <si>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</si>
  <si>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</si>
  <si>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</si>
  <si>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</si>
  <si>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</si>
  <si>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</si>
  <si>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</si>
  <si>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</si>
  <si>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</si>
  <si>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</si>
  <si>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</si>
  <si>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</si>
  <si>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</si>
  <si>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</si>
  <si>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</si>
  <si>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</si>
  <si>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</si>
  <si>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</si>
  <si>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</si>
  <si>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</si>
  <si>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</si>
  <si>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</si>
  <si>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</si>
  <si>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</si>
  <si>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</si>
  <si>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</si>
  <si>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</si>
  <si>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</si>
  <si>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</si>
  <si>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</si>
  <si>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</si>
  <si>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</si>
  <si>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</si>
  <si>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</si>
  <si>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</si>
  <si>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</si>
  <si>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</si>
  <si>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</si>
  <si>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</si>
  <si>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</si>
  <si>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</si>
  <si>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</si>
  <si>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</si>
  <si>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</si>
  <si>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</si>
  <si>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</si>
  <si>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</si>
  <si>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</si>
  <si>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</si>
  <si>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</si>
  <si>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</si>
  <si>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</si>
  <si>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</si>
  <si>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</si>
  <si>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</si>
  <si>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</si>
  <si>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</si>
  <si>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</si>
  <si>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</si>
  <si>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</si>
  <si>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</si>
  <si>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</si>
  <si>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</si>
  <si>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</si>
  <si>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</si>
  <si>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</si>
  <si>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</si>
  <si>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</si>
  <si>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</si>
  <si>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</si>
  <si>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</si>
  <si>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</si>
  <si>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</si>
  <si>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</si>
  <si>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</si>
  <si>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</si>
  <si>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</si>
  <si>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</si>
  <si>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</si>
  <si>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</si>
  <si>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</si>
  <si>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</si>
  <si>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</si>
  <si>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</si>
  <si>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</si>
  <si>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</si>
  <si>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</si>
  <si>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</si>
  <si>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</si>
  <si>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</si>
  <si>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</si>
  <si>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</si>
  <si>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</si>
  <si>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</si>
  <si>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</si>
  <si>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</si>
  <si>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</si>
  <si>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</si>
  <si>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</si>
  <si>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</si>
  <si>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</si>
  <si>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</si>
  <si>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</si>
  <si>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</si>
  <si>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</si>
  <si>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</si>
  <si>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</si>
  <si>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</si>
  <si>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</si>
  <si>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</si>
  <si>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</si>
  <si>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</si>
  <si>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</si>
  <si>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</si>
  <si>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</si>
  <si>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</si>
  <si>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</si>
  <si>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</si>
  <si>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</si>
  <si>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</si>
  <si>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</si>
  <si>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</si>
  <si>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</si>
  <si>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</si>
  <si>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</si>
  <si>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</si>
  <si>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</si>
  <si>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</si>
  <si>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</si>
  <si>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</si>
  <si>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</si>
  <si>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</si>
  <si>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</si>
  <si>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</si>
  <si>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</si>
  <si>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</si>
  <si>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</si>
  <si>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</si>
  <si>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</si>
  <si>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</si>
  <si>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</si>
  <si>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</si>
  <si>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</si>
  <si>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</si>
  <si>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</si>
  <si>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</si>
  <si>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</si>
  <si>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</si>
  <si>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</si>
  <si>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</si>
  <si>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</si>
  <si>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</si>
  <si>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</si>
  <si>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</si>
  <si>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</si>
  <si>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</si>
  <si>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</si>
  <si>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</si>
  <si>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</si>
  <si>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</si>
  <si>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</si>
  <si>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</si>
  <si>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</si>
  <si>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</si>
  <si>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</si>
  <si>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</si>
  <si>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</si>
  <si>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</si>
  <si>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</si>
  <si>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</si>
  <si>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</si>
  <si>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</si>
  <si>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</si>
  <si>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</si>
  <si>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</si>
  <si>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</si>
  <si>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</si>
  <si>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</si>
  <si>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</si>
  <si>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</si>
  <si>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</si>
  <si>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</si>
  <si>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</si>
  <si>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</si>
  <si>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</si>
  <si>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</si>
  <si>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</si>
  <si>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</si>
  <si>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</si>
  <si>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</si>
  <si>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</si>
  <si>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</si>
  <si>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</si>
  <si>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</si>
  <si>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</si>
  <si>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</si>
  <si>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</si>
  <si>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</si>
  <si>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</si>
  <si>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</si>
  <si>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</si>
  <si>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</si>
  <si>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</si>
  <si>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</si>
  <si>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</si>
  <si>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</si>
  <si>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</si>
  <si>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</si>
  <si>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</si>
  <si>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</si>
  <si>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</si>
  <si>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</si>
  <si>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</si>
  <si>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</si>
  <si>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</si>
  <si>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</si>
  <si>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</si>
  <si>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</si>
  <si>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</si>
  <si>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</si>
  <si>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</si>
  <si>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</si>
  <si>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</si>
  <si>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</si>
  <si>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</si>
  <si>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</si>
  <si>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</si>
  <si>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</si>
  <si>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</si>
  <si>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</si>
  <si>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</si>
  <si>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</si>
  <si>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</si>
  <si>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</si>
  <si>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</si>
  <si>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</si>
  <si>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</si>
  <si>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</si>
  <si>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</si>
  <si>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</si>
  <si>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</si>
  <si>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</si>
  <si>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</si>
  <si>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</si>
  <si>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</si>
  <si>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</si>
  <si>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</si>
  <si>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</si>
  <si>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</si>
  <si>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</si>
  <si>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</si>
  <si>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</si>
  <si>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</si>
  <si>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</si>
  <si>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</si>
  <si>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</si>
  <si>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</si>
  <si>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</si>
  <si>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</si>
  <si>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</si>
  <si>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</si>
  <si>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</si>
  <si>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</si>
  <si>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</si>
  <si>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</si>
  <si>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</si>
  <si>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</si>
  <si>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</si>
  <si>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</si>
  <si>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</si>
  <si>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</si>
  <si>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</si>
  <si>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</si>
  <si>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</si>
  <si>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</si>
  <si>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</si>
  <si>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</si>
  <si>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</si>
  <si>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</si>
  <si>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</si>
  <si>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</si>
  <si>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</si>
  <si>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</si>
  <si>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</si>
  <si>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</si>
  <si>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</si>
  <si>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</si>
  <si>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</si>
  <si>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</si>
  <si>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</si>
  <si>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</si>
  <si>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</si>
  <si>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</si>
  <si>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</si>
  <si>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</si>
  <si>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</si>
  <si>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</si>
  <si>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</si>
  <si>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</si>
  <si>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</si>
  <si>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</si>
  <si>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</si>
  <si>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</si>
  <si>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</si>
  <si>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</si>
  <si>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</si>
  <si>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</si>
  <si>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</si>
  <si>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</si>
  <si>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</si>
  <si>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</si>
  <si>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</si>
  <si>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</si>
  <si>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</si>
  <si>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</si>
  <si>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</si>
  <si>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</si>
  <si>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</si>
  <si>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</si>
  <si>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</si>
  <si>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</si>
  <si>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</si>
  <si>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</si>
  <si>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</si>
  <si>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</si>
  <si>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</si>
  <si>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</si>
  <si>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</si>
  <si>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</si>
  <si>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</si>
  <si>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</si>
  <si>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</si>
  <si>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</si>
  <si>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</si>
  <si>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</si>
  <si>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</si>
  <si>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</si>
  <si>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</si>
  <si>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</si>
  <si>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</si>
  <si>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</si>
  <si>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</si>
  <si>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</si>
  <si>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</si>
  <si>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</si>
  <si>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</si>
  <si>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</si>
  <si>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</si>
  <si>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</si>
  <si>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</si>
  <si>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</si>
  <si>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</si>
  <si>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</si>
  <si>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</si>
  <si>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</si>
  <si>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</si>
  <si>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</si>
  <si>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</si>
  <si>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</si>
  <si>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</si>
  <si>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</si>
  <si>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</si>
  <si>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</si>
  <si>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</si>
  <si>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</si>
  <si>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</si>
  <si>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</si>
  <si>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</si>
  <si>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</si>
  <si>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</si>
  <si>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</si>
  <si>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</si>
  <si>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</si>
  <si>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</si>
  <si>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</si>
  <si>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</si>
  <si>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</si>
  <si>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</si>
  <si>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</si>
  <si>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</si>
  <si>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</si>
  <si>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</si>
  <si>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</si>
  <si>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</si>
  <si>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</si>
  <si>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</si>
  <si>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</si>
  <si>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</si>
  <si>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</si>
  <si>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</si>
  <si>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</si>
  <si>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</si>
  <si>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</si>
  <si>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</si>
  <si>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</si>
  <si>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</si>
  <si>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</si>
  <si>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</si>
  <si>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</si>
  <si>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</si>
  <si>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</si>
  <si>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</si>
  <si>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</si>
  <si>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</si>
  <si>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</si>
  <si>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</si>
  <si>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</si>
  <si>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</si>
  <si>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</si>
  <si>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</si>
  <si>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</si>
  <si>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</si>
  <si>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</si>
  <si>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</si>
  <si>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</si>
  <si>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</si>
  <si>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</si>
  <si>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</si>
  <si>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</si>
  <si>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</si>
  <si>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</si>
  <si>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</si>
  <si>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</si>
  <si>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</si>
  <si>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</si>
  <si>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</si>
  <si>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</si>
  <si>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</si>
  <si>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</si>
  <si>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</si>
  <si>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</si>
  <si>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</si>
  <si>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</si>
  <si>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</si>
  <si>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</si>
  <si>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</si>
  <si>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</si>
  <si>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</si>
  <si>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</si>
  <si>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</si>
  <si>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</si>
  <si>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</si>
  <si>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</si>
  <si>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</si>
  <si>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</si>
  <si>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</si>
  <si>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</si>
  <si>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</si>
  <si>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</si>
  <si>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</si>
  <si>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</si>
  <si>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</si>
  <si>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</si>
  <si>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</si>
  <si>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</si>
  <si>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</si>
  <si>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</si>
  <si>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</si>
  <si>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</si>
  <si>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</si>
  <si>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</si>
  <si>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</si>
  <si>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</si>
  <si>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</si>
  <si>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</si>
  <si>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</si>
  <si>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</si>
  <si>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</si>
  <si>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</si>
  <si>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</si>
  <si>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</si>
  <si>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</si>
  <si>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</si>
  <si>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</si>
  <si>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</si>
  <si>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</si>
  <si>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</si>
  <si>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</si>
  <si>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</si>
  <si>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</si>
  <si>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</si>
  <si>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</si>
  <si>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</si>
  <si>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</si>
  <si>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</si>
  <si>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</si>
  <si>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</si>
  <si>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</si>
  <si>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</si>
  <si>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</si>
  <si>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</si>
  <si>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</si>
  <si>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</si>
  <si>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</si>
  <si>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</si>
  <si>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</si>
  <si>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</si>
  <si>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</si>
  <si>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</si>
  <si>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</si>
  <si>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</si>
  <si>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</si>
  <si>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</si>
  <si>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</si>
  <si>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</si>
  <si>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</si>
  <si>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</si>
  <si>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</si>
  <si>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</si>
  <si>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</si>
  <si>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</si>
  <si>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</si>
  <si>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</si>
  <si>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</si>
  <si>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</si>
  <si>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</si>
  <si>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</si>
  <si>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</si>
  <si>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</si>
  <si>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</si>
  <si>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</si>
  <si>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</si>
  <si>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</si>
  <si>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</si>
  <si>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</si>
  <si>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</si>
  <si>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</si>
  <si>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</si>
  <si>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</si>
  <si>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</si>
  <si>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</si>
  <si>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</si>
  <si>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</si>
  <si>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</si>
  <si>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</si>
  <si>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</si>
  <si>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</si>
  <si>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</si>
  <si>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</si>
  <si>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</si>
  <si>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</si>
  <si>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</si>
  <si>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</si>
  <si>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</si>
  <si>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</si>
  <si>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</si>
  <si>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</si>
  <si>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</si>
  <si>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</si>
  <si>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</si>
  <si>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</si>
  <si>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</si>
  <si>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</si>
  <si>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</si>
  <si>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</si>
  <si>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</si>
  <si>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</si>
  <si>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</si>
  <si>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</si>
  <si>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</si>
  <si>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</si>
  <si>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</si>
  <si>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</si>
  <si>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</si>
  <si>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</si>
  <si>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</si>
  <si>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</si>
  <si>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</si>
  <si>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</si>
  <si>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</si>
  <si>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</si>
  <si>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</si>
  <si>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</si>
  <si>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</si>
  <si>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</si>
  <si>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</si>
  <si>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</si>
  <si>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</si>
  <si>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</si>
  <si>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</si>
  <si>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</si>
  <si>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</si>
  <si>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</si>
  <si>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</si>
  <si>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</si>
  <si>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</si>
  <si>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</si>
  <si>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</si>
  <si>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</si>
  <si>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</si>
  <si>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</si>
  <si>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</si>
  <si>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</si>
  <si>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</si>
  <si>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</si>
  <si>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</si>
  <si>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</si>
  <si>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</si>
  <si>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</si>
  <si>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</si>
  <si>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</si>
  <si>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</si>
  <si>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</si>
  <si>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</si>
  <si>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</si>
  <si>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</si>
  <si>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</si>
  <si>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</si>
  <si>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</si>
  <si>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</si>
  <si>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</si>
  <si>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</si>
  <si>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</si>
  <si>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</si>
  <si>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</si>
  <si>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</si>
  <si>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</si>
  <si>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</si>
  <si>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</si>
  <si>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</si>
  <si>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</si>
  <si>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</si>
  <si>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</si>
  <si>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</si>
  <si>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</si>
  <si>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</si>
  <si>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</si>
  <si>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</si>
  <si>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</si>
  <si>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</si>
  <si>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</si>
  <si>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</si>
  <si>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</si>
  <si>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</si>
  <si>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</si>
  <si>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</si>
  <si>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</si>
  <si>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</si>
  <si>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</si>
  <si>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</si>
  <si>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</si>
  <si>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</si>
  <si>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</si>
  <si>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</si>
  <si>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</si>
  <si>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</si>
  <si>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</si>
  <si>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</si>
  <si>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</si>
  <si>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</si>
  <si>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</si>
  <si>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</si>
  <si>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</si>
  <si>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</si>
  <si>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</si>
  <si>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</si>
  <si>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</si>
  <si>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</si>
  <si>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</si>
  <si>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</si>
  <si>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</si>
  <si>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</si>
  <si>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</si>
  <si>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</si>
  <si>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</si>
  <si>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</si>
  <si>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</si>
  <si>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</si>
  <si>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</si>
  <si>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</si>
  <si>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</si>
  <si>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</si>
  <si>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</si>
  <si>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</si>
  <si>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</si>
  <si>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</si>
  <si>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</si>
  <si>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</si>
  <si>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</si>
  <si>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</si>
  <si>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</si>
  <si>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</si>
  <si>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</si>
  <si>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</si>
  <si>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</si>
  <si>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</si>
  <si>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</si>
  <si>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</si>
  <si>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</si>
  <si>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</si>
  <si>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</si>
  <si>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</si>
  <si>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</si>
  <si>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</si>
  <si>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</si>
  <si>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</si>
  <si>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</si>
  <si>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</si>
  <si>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</si>
  <si>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</si>
  <si>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</si>
  <si>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</si>
  <si>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</si>
  <si>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</si>
  <si>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</si>
  <si>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</si>
  <si>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</si>
  <si>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</si>
  <si>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</si>
  <si>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</si>
  <si>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</si>
  <si>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</si>
  <si>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</si>
  <si>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</si>
  <si>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</si>
  <si>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</si>
  <si>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</si>
  <si>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</si>
  <si>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</si>
  <si>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</si>
  <si>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</si>
  <si>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</si>
  <si>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</si>
  <si>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</si>
  <si>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</si>
  <si>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</si>
  <si>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</si>
  <si>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</si>
  <si>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</si>
  <si>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</si>
  <si>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</si>
  <si>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</si>
  <si>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</si>
  <si>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</si>
  <si>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</si>
  <si>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</si>
  <si>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</si>
  <si>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</si>
  <si>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</si>
  <si>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</si>
  <si>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</si>
  <si>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</si>
  <si>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</si>
  <si>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</si>
  <si>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</si>
  <si>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</si>
  <si>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</si>
  <si>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</si>
  <si>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</si>
  <si>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</si>
  <si>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</si>
  <si>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</si>
  <si>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</si>
  <si>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</si>
  <si>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</si>
  <si>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</si>
  <si>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</si>
  <si>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</si>
  <si>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</si>
  <si>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</si>
  <si>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</si>
  <si>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</si>
  <si>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</si>
  <si>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</si>
  <si>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</si>
  <si>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</si>
  <si>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</si>
  <si>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</si>
  <si>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</si>
  <si>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</si>
  <si>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</si>
  <si>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</si>
  <si>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</si>
  <si>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</si>
  <si>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</si>
  <si>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</si>
  <si>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</si>
  <si>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</si>
  <si>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</si>
  <si>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</si>
  <si>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</si>
  <si>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</si>
  <si>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</si>
  <si>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</si>
  <si>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</si>
  <si>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</si>
  <si>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</si>
  <si>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</si>
  <si>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</si>
  <si>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</si>
  <si>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</si>
  <si>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</si>
  <si>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</si>
  <si>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</si>
  <si>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</si>
  <si>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</si>
  <si>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</si>
  <si>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</si>
  <si>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</si>
  <si>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</si>
  <si>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</si>
  <si>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</si>
  <si>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</si>
  <si>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</si>
  <si>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</si>
  <si>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</si>
  <si>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</si>
  <si>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</si>
  <si>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</si>
  <si>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</si>
  <si>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</si>
  <si>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</si>
  <si>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</si>
  <si>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</si>
  <si>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</si>
  <si>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</si>
  <si>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</si>
  <si>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</si>
  <si>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</si>
  <si>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</si>
  <si>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</si>
  <si>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</si>
  <si>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</si>
  <si>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</si>
  <si>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</si>
  <si>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</si>
  <si>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</si>
  <si>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</si>
  <si>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</si>
  <si>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</si>
  <si>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</si>
  <si>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</si>
  <si>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</si>
  <si>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</si>
  <si>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</si>
  <si>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</si>
  <si>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</si>
  <si>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</si>
  <si>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</si>
  <si>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</si>
  <si>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</si>
  <si>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</si>
  <si>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</si>
  <si>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</si>
  <si>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</si>
  <si>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</si>
  <si>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</si>
  <si>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</si>
  <si>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</si>
  <si>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</si>
  <si>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</si>
  <si>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</si>
  <si>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</si>
  <si>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</si>
  <si>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</si>
  <si>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</si>
  <si>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</si>
  <si>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</si>
  <si>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</si>
  <si>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</si>
  <si>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</si>
  <si>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</si>
  <si>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</si>
  <si>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</si>
  <si>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</si>
  <si>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</si>
  <si>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</si>
  <si>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</si>
  <si>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</si>
  <si>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</si>
  <si>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</si>
  <si>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</si>
  <si>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</si>
  <si>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</si>
  <si>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</si>
  <si>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</si>
  <si>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</si>
  <si>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</si>
  <si>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</si>
  <si>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</si>
  <si>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</si>
  <si>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</si>
  <si>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</si>
  <si>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</si>
  <si>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</si>
  <si>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</si>
  <si>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</si>
  <si>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</si>
  <si>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</si>
  <si>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</si>
  <si>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</si>
  <si>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</si>
  <si>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</si>
  <si>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</si>
  <si>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</si>
  <si>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</si>
  <si>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</si>
  <si>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</si>
  <si>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</si>
  <si>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</si>
  <si>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</si>
  <si>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</si>
  <si>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</si>
  <si>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</si>
  <si>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</si>
  <si>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</si>
  <si>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</si>
  <si>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</si>
  <si>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</si>
  <si>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</si>
  <si>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</si>
  <si>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</si>
  <si>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</si>
  <si>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</si>
  <si>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</si>
  <si>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</si>
  <si>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</si>
  <si>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</si>
  <si>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</si>
  <si>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</si>
  <si>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</si>
  <si>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</si>
  <si>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</si>
  <si>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</si>
  <si>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</si>
  <si>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</si>
  <si>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</si>
  <si>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</si>
  <si>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</si>
  <si>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</si>
  <si>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</si>
  <si>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</si>
  <si>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</si>
  <si>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</si>
  <si>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</si>
  <si>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</si>
  <si>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</si>
  <si>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</si>
  <si>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</si>
  <si>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</si>
  <si>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</si>
  <si>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</si>
  <si>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</si>
  <si>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</si>
  <si>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</si>
  <si>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</si>
  <si>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</si>
  <si>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</si>
  <si>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</si>
  <si>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</si>
  <si>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</si>
  <si>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</si>
  <si>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</si>
  <si>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</si>
  <si>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</si>
  <si>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</si>
  <si>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</si>
  <si>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</si>
  <si>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</si>
  <si>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</si>
  <si>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</si>
  <si>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</si>
  <si>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</si>
  <si>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</si>
  <si>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</si>
  <si>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</si>
  <si>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</si>
  <si>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</si>
  <si>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</si>
  <si>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</si>
  <si>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</si>
  <si>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</si>
  <si>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</si>
  <si>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</si>
  <si>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</si>
  <si>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</si>
  <si>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</si>
  <si>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</si>
  <si>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</si>
  <si>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</si>
  <si>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</si>
  <si>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</si>
  <si>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</si>
  <si>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</si>
  <si>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</si>
  <si>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</si>
  <si>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</si>
  <si>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</si>
  <si>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</si>
  <si>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</si>
  <si>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</si>
  <si>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</si>
  <si>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</si>
  <si>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</si>
  <si>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</si>
  <si>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</si>
  <si>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</si>
  <si>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</si>
  <si>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</si>
  <si>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</si>
  <si>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</si>
  <si>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</si>
  <si>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</si>
  <si>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</si>
  <si>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</si>
  <si>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</si>
  <si>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</si>
  <si>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</si>
  <si>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</si>
  <si>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</si>
  <si>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</si>
  <si>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</si>
  <si>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</si>
  <si>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</si>
  <si>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</si>
  <si>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</si>
  <si>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</si>
  <si>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</si>
  <si>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</si>
  <si>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</si>
  <si>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</si>
  <si>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</si>
  <si>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</si>
  <si>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</si>
  <si>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</si>
  <si>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</si>
  <si>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</si>
  <si>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</si>
  <si>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</si>
  <si>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</si>
  <si>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</si>
  <si>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</si>
  <si>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</si>
  <si>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</si>
  <si>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</si>
  <si>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</si>
  <si>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</si>
  <si>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</si>
  <si>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</si>
  <si>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</si>
  <si>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</si>
  <si>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</si>
  <si>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</si>
  <si>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</si>
  <si>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</si>
  <si>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</si>
  <si>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</si>
  <si>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</si>
  <si>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</si>
  <si>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</si>
  <si>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</si>
  <si>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</si>
  <si>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</si>
  <si>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</si>
  <si>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</si>
  <si>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</si>
  <si>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</si>
  <si>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</si>
  <si>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</si>
  <si>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</si>
  <si>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</si>
  <si>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</si>
  <si>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</si>
  <si>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</si>
  <si>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</si>
  <si>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</si>
  <si>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</si>
  <si>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</si>
  <si>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</si>
  <si>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</si>
  <si>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</si>
  <si>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</si>
  <si>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</si>
  <si>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</si>
  <si>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</si>
  <si>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</si>
  <si>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</si>
  <si>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</si>
  <si>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</si>
  <si>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</si>
  <si>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</si>
  <si>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</si>
  <si>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</si>
  <si>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</si>
  <si>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</si>
  <si>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</si>
  <si>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</si>
  <si>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</si>
  <si>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</si>
  <si>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</si>
  <si>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</si>
  <si>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</si>
  <si>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</si>
  <si>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</si>
  <si>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</si>
  <si>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</si>
  <si>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</si>
  <si>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</si>
  <si>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</si>
  <si>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</si>
  <si>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</si>
  <si>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</si>
  <si>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</si>
  <si>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</si>
  <si>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</si>
  <si>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</si>
  <si>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</si>
  <si>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</si>
  <si>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</si>
  <si>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</si>
  <si>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</si>
  <si>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</si>
  <si>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</si>
  <si>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</si>
  <si>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</si>
  <si>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</si>
  <si>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</si>
  <si>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</si>
  <si>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</si>
  <si>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</si>
  <si>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</si>
  <si>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</si>
  <si>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</si>
  <si>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</si>
  <si>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</si>
  <si>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</si>
  <si>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</si>
  <si>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</si>
  <si>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</si>
  <si>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</si>
  <si>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</si>
  <si>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</si>
  <si>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</si>
  <si>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</si>
  <si>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</si>
  <si>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</si>
  <si>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</si>
  <si>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</si>
  <si>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</si>
  <si>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</si>
  <si>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</si>
  <si>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</si>
  <si>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</si>
  <si>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</si>
  <si>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</si>
  <si>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</si>
  <si>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</si>
  <si>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</si>
  <si>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</si>
  <si>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</si>
  <si>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</si>
  <si>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</si>
  <si>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</si>
  <si>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</si>
  <si>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</si>
  <si>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</si>
  <si>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</si>
  <si>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</si>
  <si>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</si>
  <si>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</si>
  <si>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</si>
  <si>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</si>
  <si>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</si>
  <si>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</si>
  <si>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</si>
  <si>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</si>
  <si>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</si>
  <si>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</si>
  <si>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</si>
  <si>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</si>
  <si>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</si>
  <si>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</si>
  <si>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</si>
  <si>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</si>
  <si>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</si>
  <si>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</si>
  <si>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</si>
  <si>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</si>
  <si>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</si>
  <si>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</si>
  <si>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</si>
  <si>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</si>
  <si>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</si>
  <si>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</si>
  <si>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</si>
  <si>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</si>
  <si>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</si>
  <si>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</si>
  <si>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</si>
  <si>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</si>
  <si>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</si>
  <si>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</si>
  <si>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</si>
  <si>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</si>
  <si>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</si>
  <si>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</si>
  <si>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</si>
  <si>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</si>
  <si>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</si>
  <si>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</si>
  <si>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</si>
  <si>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</si>
  <si>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</si>
  <si>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</si>
  <si>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</si>
  <si>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</si>
  <si>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</si>
  <si>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</si>
  <si>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</si>
  <si>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</si>
  <si>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</si>
  <si>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</si>
  <si>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</si>
  <si>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</si>
  <si>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</si>
  <si>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</si>
  <si>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</si>
  <si>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</si>
  <si>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</si>
  <si>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</si>
  <si>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</si>
  <si>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</si>
  <si>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</si>
  <si>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</si>
  <si>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</si>
  <si>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</si>
  <si>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</si>
  <si>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</si>
  <si>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</si>
  <si>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</si>
  <si>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</si>
  <si>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</si>
  <si>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</si>
  <si>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</si>
  <si>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</si>
  <si>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</si>
  <si>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</si>
  <si>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</si>
  <si>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</si>
  <si>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</si>
  <si>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</si>
  <si>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</si>
  <si>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</si>
  <si>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</si>
  <si>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</si>
  <si>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</si>
  <si>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</si>
  <si>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</si>
  <si>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</si>
  <si>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</si>
  <si>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</si>
  <si>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</si>
  <si>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</si>
  <si>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</si>
  <si>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</si>
  <si>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</si>
  <si>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</si>
  <si>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</si>
  <si>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</si>
  <si>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</si>
  <si>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</si>
  <si>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</si>
  <si>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</si>
  <si>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</si>
  <si>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</si>
  <si>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</si>
  <si>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</si>
  <si>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</si>
  <si>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</si>
  <si>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</si>
  <si>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</si>
  <si>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</si>
  <si>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</si>
  <si>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</si>
  <si>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</si>
  <si>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</si>
  <si>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</si>
  <si>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</si>
  <si>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</si>
  <si>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</si>
  <si>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</si>
  <si>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</si>
  <si>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</si>
  <si>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</si>
  <si>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</si>
  <si>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</si>
  <si>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</si>
  <si>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</si>
  <si>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</si>
  <si>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</si>
  <si>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</si>
  <si>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</si>
  <si>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</si>
  <si>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</si>
  <si>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</si>
  <si>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</si>
  <si>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</si>
  <si>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</si>
  <si>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</si>
  <si>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</si>
  <si>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</si>
  <si>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</si>
  <si>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</si>
  <si>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</si>
  <si>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</si>
  <si>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</si>
  <si>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</si>
  <si>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</si>
  <si>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</si>
  <si>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</si>
  <si>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</si>
  <si>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</si>
  <si>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</si>
  <si>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</si>
  <si>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</si>
  <si>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</si>
  <si>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</si>
  <si>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</si>
  <si>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</si>
  <si>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</si>
  <si>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</si>
  <si>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</si>
  <si>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</si>
  <si>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</si>
  <si>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</si>
  <si>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</si>
  <si>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</si>
  <si>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</si>
  <si>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</si>
  <si>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</si>
  <si>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</si>
  <si>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</si>
  <si>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</si>
  <si>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</si>
  <si>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</si>
  <si>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</si>
  <si>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</si>
  <si>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</si>
  <si>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</si>
  <si>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</si>
  <si>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</si>
  <si>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</si>
  <si>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</si>
  <si>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</si>
  <si>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</si>
  <si>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</si>
  <si>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</si>
  <si>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</si>
  <si>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</si>
  <si>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</si>
  <si>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</si>
  <si>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</si>
  <si>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</si>
  <si>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</si>
  <si>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</si>
  <si>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</si>
  <si>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</si>
  <si>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</si>
  <si>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</si>
  <si>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</si>
  <si>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</si>
  <si>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</si>
  <si>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</si>
  <si>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</si>
  <si>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</si>
  <si>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</si>
  <si>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</si>
  <si>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</si>
  <si>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</si>
  <si>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</si>
  <si>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</si>
  <si>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</si>
  <si>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</si>
  <si>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</si>
  <si>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</si>
  <si>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</si>
  <si>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</si>
  <si>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</si>
  <si>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</si>
  <si>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</si>
  <si>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</si>
  <si>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</si>
  <si>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</si>
  <si>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</si>
  <si>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</si>
  <si>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</si>
  <si>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</si>
  <si>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</si>
  <si>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</si>
  <si>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</si>
  <si>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</si>
  <si>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</si>
  <si>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</si>
  <si>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</si>
  <si>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</si>
  <si>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</si>
  <si>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</si>
  <si>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</si>
  <si>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</si>
  <si>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</si>
  <si>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</si>
  <si>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</si>
  <si>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</si>
  <si>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</si>
  <si>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</si>
  <si>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</si>
  <si>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</si>
  <si>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</si>
  <si>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</si>
  <si>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</si>
  <si>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</si>
  <si>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</si>
  <si>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</si>
  <si>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</si>
  <si>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</si>
  <si>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</si>
  <si>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</si>
  <si>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</si>
  <si>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</si>
  <si>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</si>
  <si>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</si>
  <si>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</si>
  <si>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</si>
  <si>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</si>
  <si>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</si>
  <si>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</si>
  <si>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</si>
  <si>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</si>
  <si>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</si>
  <si>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</si>
  <si>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</si>
  <si>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</si>
  <si>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</si>
  <si>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</si>
  <si>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</si>
  <si>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</si>
  <si>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</si>
  <si>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</si>
  <si>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</si>
  <si>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</si>
  <si>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</si>
  <si>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</si>
  <si>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</si>
  <si>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</si>
  <si>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</si>
  <si>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</si>
  <si>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</si>
  <si>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</si>
  <si>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</si>
  <si>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</si>
  <si>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</si>
  <si>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</si>
  <si>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</si>
  <si>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</si>
  <si>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</si>
  <si>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</si>
  <si>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</si>
  <si>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</si>
  <si>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</si>
  <si>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</si>
  <si>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</si>
  <si>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</si>
  <si>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</si>
  <si>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</si>
  <si>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</si>
  <si>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</si>
  <si>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</si>
  <si>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</si>
  <si>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</si>
  <si>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</si>
  <si>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</si>
  <si>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</si>
  <si>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</si>
  <si>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</si>
  <si>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</si>
  <si>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</si>
  <si>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</si>
  <si>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</si>
  <si>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</si>
  <si>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</si>
  <si>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</si>
  <si>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</si>
  <si>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</si>
  <si>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</si>
  <si>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</si>
  <si>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</si>
  <si>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</si>
  <si>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</si>
  <si>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</si>
  <si>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</si>
  <si>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</si>
  <si>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</si>
  <si>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</si>
  <si>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</si>
  <si>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</si>
  <si>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</si>
  <si>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</si>
  <si>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</si>
  <si>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</si>
  <si>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</si>
  <si>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</si>
  <si>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</si>
  <si>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</si>
  <si>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</si>
  <si>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</si>
  <si>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</si>
  <si>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</si>
  <si>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</si>
  <si>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</si>
  <si>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</si>
  <si>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</si>
  <si>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</si>
  <si>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</si>
  <si>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</si>
  <si>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</si>
  <si>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</si>
  <si>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</si>
  <si>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</si>
  <si>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</si>
  <si>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</si>
  <si>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</si>
  <si>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</si>
  <si>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</si>
  <si>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</si>
  <si>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</si>
  <si>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</si>
  <si>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</si>
  <si>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</si>
  <si>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</si>
  <si>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</si>
  <si>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</si>
  <si>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</si>
  <si>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</si>
  <si>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</si>
  <si>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</si>
  <si>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</si>
  <si>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</si>
  <si>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</si>
  <si>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</si>
  <si>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</si>
  <si>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</si>
  <si>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</si>
  <si>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</si>
  <si>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</si>
  <si>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</si>
  <si>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</si>
  <si>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</si>
  <si>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</si>
  <si>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</si>
  <si>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</si>
  <si>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</si>
  <si>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</si>
  <si>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</si>
  <si>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</si>
  <si>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</si>
  <si>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</si>
  <si>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</si>
  <si>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</si>
  <si>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</si>
  <si>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</si>
  <si>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</si>
  <si>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</si>
  <si>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</si>
  <si>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</si>
  <si>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</si>
  <si>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</si>
  <si>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</si>
  <si>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</si>
  <si>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</si>
  <si>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</si>
  <si>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</si>
  <si>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</si>
  <si>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</si>
  <si>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</si>
  <si>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</si>
  <si>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</si>
  <si>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</si>
  <si>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</si>
  <si>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</si>
  <si>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</si>
  <si>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</si>
  <si>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</si>
  <si>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</si>
  <si>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</si>
  <si>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</si>
  <si>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</si>
  <si>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</si>
  <si>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</si>
  <si>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</si>
  <si>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</si>
  <si>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</si>
  <si>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</si>
  <si>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</si>
  <si>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</si>
  <si>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</si>
  <si>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</si>
  <si>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</si>
  <si>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</si>
  <si>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</si>
  <si>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</si>
  <si>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</si>
  <si>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</si>
  <si>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</si>
  <si>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</si>
  <si>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</si>
  <si>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</si>
  <si>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</si>
  <si>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</si>
  <si>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</si>
  <si>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</si>
  <si>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</si>
  <si>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</si>
  <si>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</si>
  <si>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</si>
  <si>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</si>
  <si>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</si>
  <si>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</si>
  <si>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</si>
  <si>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</si>
  <si>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</si>
  <si>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</si>
  <si>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</si>
  <si>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</si>
  <si>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</si>
  <si>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</si>
  <si>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</si>
  <si>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</si>
  <si>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</si>
  <si>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</si>
  <si>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</si>
  <si>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</si>
  <si>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</si>
  <si>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</si>
  <si>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</si>
  <si>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</si>
  <si>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</si>
  <si>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</si>
  <si>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</si>
  <si>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</si>
  <si>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</si>
  <si>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</si>
  <si>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</si>
  <si>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</si>
  <si>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</si>
  <si>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</si>
  <si>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</si>
  <si>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</si>
  <si>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</si>
  <si>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</si>
  <si>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</si>
  <si>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</si>
  <si>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</si>
  <si>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</si>
  <si>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</si>
  <si>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</si>
  <si>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</si>
  <si>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</si>
  <si>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</si>
  <si>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</si>
  <si>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</si>
  <si>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</si>
  <si>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</si>
  <si>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</si>
  <si>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</si>
  <si>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</si>
  <si>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</si>
  <si>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</si>
  <si>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</si>
  <si>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</si>
  <si>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</si>
  <si>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</si>
  <si>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</si>
  <si>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</si>
  <si>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</si>
  <si>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</si>
  <si>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</si>
  <si>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</si>
  <si>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</si>
  <si>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</si>
  <si>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</si>
  <si>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</si>
  <si>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</si>
  <si>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</si>
  <si>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</si>
  <si>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</si>
  <si>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</si>
  <si>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</si>
  <si>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</si>
  <si>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</si>
  <si>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</si>
  <si>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</si>
  <si>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</si>
  <si>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</si>
  <si>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</si>
  <si>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</si>
  <si>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</si>
  <si>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</si>
  <si>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</si>
  <si>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</si>
  <si>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</si>
  <si>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</si>
  <si>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</si>
  <si>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</si>
  <si>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</si>
  <si>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</si>
  <si>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</si>
  <si>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</si>
  <si>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</si>
  <si>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</si>
  <si>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</si>
  <si>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</si>
  <si>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</si>
  <si>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</si>
  <si>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</si>
  <si>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</si>
  <si>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</si>
  <si>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</si>
  <si>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</si>
  <si>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</si>
  <si>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</si>
  <si>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</si>
  <si>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</si>
  <si>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</si>
  <si>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</si>
  <si>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</si>
  <si>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</si>
  <si>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</si>
  <si>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</si>
  <si>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</si>
  <si>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</si>
  <si>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</si>
  <si>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</si>
  <si>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</si>
  <si>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</si>
  <si>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</si>
  <si>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</si>
  <si>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</si>
  <si>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</si>
  <si>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</si>
  <si>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</si>
  <si>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</si>
  <si>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</si>
  <si>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</si>
  <si>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</si>
  <si>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</si>
  <si>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</si>
  <si>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</si>
  <si>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</si>
  <si>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</si>
  <si>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</si>
  <si>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</si>
  <si>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</si>
  <si>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</si>
  <si>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</si>
  <si>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</si>
  <si>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</si>
  <si>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</si>
  <si>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</si>
  <si>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</si>
  <si>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</si>
  <si>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</si>
  <si>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</si>
  <si>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</si>
  <si>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</si>
  <si>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</si>
  <si>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</si>
  <si>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</si>
  <si>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</si>
  <si>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</si>
  <si>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</si>
  <si>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</si>
  <si>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</si>
  <si>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</si>
  <si>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</si>
  <si>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</si>
  <si>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</si>
  <si>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</si>
  <si>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</si>
  <si>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</si>
  <si>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</si>
  <si>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</si>
  <si>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</si>
  <si>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</si>
  <si>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</si>
  <si>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</si>
  <si>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</si>
  <si>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</si>
  <si>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</si>
  <si>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</si>
  <si>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</si>
  <si>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</si>
  <si>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</si>
  <si>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</si>
  <si>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</si>
  <si>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</si>
  <si>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</si>
  <si>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</si>
  <si>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</si>
  <si>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</si>
  <si>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</si>
  <si>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</si>
  <si>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</si>
  <si>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</si>
  <si>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</si>
  <si>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</si>
  <si>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</si>
  <si>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</si>
  <si>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</si>
  <si>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</si>
  <si>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</si>
  <si>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</si>
  <si>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</si>
  <si>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</si>
  <si>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</si>
  <si>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</si>
  <si>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</si>
  <si>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</si>
  <si>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</si>
  <si>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</si>
  <si>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</si>
  <si>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</si>
  <si>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</si>
  <si>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</si>
  <si>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</si>
  <si>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</si>
  <si>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</si>
  <si>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</si>
  <si>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</si>
  <si>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</si>
  <si>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</si>
  <si>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</si>
  <si>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</si>
  <si>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</si>
  <si>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</si>
  <si>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</si>
  <si>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</si>
  <si>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</si>
  <si>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</si>
  <si>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</si>
  <si>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</si>
  <si>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</si>
  <si>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</si>
  <si>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</si>
  <si>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</si>
  <si>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</si>
  <si>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</si>
  <si>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</si>
  <si>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</si>
  <si>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</si>
  <si>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</si>
  <si>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</si>
  <si>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</si>
  <si>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</si>
  <si>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</si>
  <si>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</si>
  <si>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</si>
  <si>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</si>
  <si>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</si>
  <si>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</si>
  <si>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</si>
  <si>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</si>
  <si>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</si>
  <si>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</si>
  <si>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</si>
  <si>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</si>
  <si>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</si>
  <si>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</si>
  <si>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</si>
  <si>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</si>
  <si>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</si>
  <si>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</si>
  <si>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</si>
  <si>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</si>
  <si>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</si>
  <si>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</si>
  <si>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</si>
  <si>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</si>
  <si>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</si>
  <si>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</si>
  <si>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</si>
  <si>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</si>
  <si>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</si>
  <si>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</si>
  <si>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</si>
  <si>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</si>
  <si>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</si>
  <si>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</si>
  <si>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</si>
  <si>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</si>
  <si>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</si>
  <si>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</si>
  <si>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</si>
  <si>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</si>
  <si>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</si>
  <si>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</si>
  <si>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</si>
  <si>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</si>
  <si>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</si>
  <si>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</si>
  <si>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</si>
  <si>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</si>
  <si>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</si>
  <si>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</si>
  <si>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</si>
  <si>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</si>
  <si>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</si>
  <si>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</si>
  <si>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</si>
  <si>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</si>
  <si>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</si>
  <si>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</si>
  <si>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</si>
  <si>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</si>
  <si>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</si>
  <si>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</si>
  <si>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</si>
  <si>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</si>
  <si>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</si>
  <si>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</si>
  <si>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</si>
  <si>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</si>
  <si>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</si>
  <si>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</si>
  <si>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</si>
  <si>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</si>
  <si>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</si>
  <si>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</si>
  <si>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</si>
  <si>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</si>
  <si>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</si>
  <si>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</si>
  <si>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</si>
  <si>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</si>
  <si>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</si>
  <si>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</si>
  <si>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</si>
  <si>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</si>
  <si>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</si>
  <si>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</si>
  <si>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</si>
  <si>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</si>
  <si>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</si>
  <si>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</si>
  <si>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</si>
  <si>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</si>
  <si>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</si>
  <si>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</si>
  <si>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</si>
  <si>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</si>
  <si>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</si>
  <si>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</si>
  <si>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</si>
  <si>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</si>
  <si>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</si>
  <si>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</si>
  <si>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</si>
  <si>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</si>
  <si>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</si>
  <si>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</si>
  <si>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</si>
  <si>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</si>
  <si>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</si>
  <si>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</si>
  <si>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</si>
  <si>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</si>
  <si>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</si>
  <si>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</si>
  <si>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</si>
  <si>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</si>
  <si>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</si>
  <si>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</si>
  <si>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</si>
  <si>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</si>
  <si>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</si>
  <si>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</si>
  <si>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</si>
  <si>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</si>
  <si>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</si>
  <si>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</si>
  <si>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</si>
  <si>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</si>
  <si>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</si>
  <si>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</si>
  <si>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</si>
  <si>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</si>
  <si>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</si>
  <si>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</si>
  <si>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</si>
  <si>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</si>
  <si>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</si>
  <si>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</si>
  <si>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</si>
  <si>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</si>
  <si>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</si>
  <si>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</si>
  <si>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</si>
  <si>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</si>
  <si>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</si>
  <si>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</si>
  <si>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</si>
  <si>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</si>
  <si>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</si>
  <si>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</si>
  <si>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</si>
  <si>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</si>
  <si>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</si>
  <si>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</si>
  <si>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</si>
  <si>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</si>
  <si>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</si>
  <si>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</si>
  <si>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</si>
  <si>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</si>
  <si>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</si>
  <si>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</si>
  <si>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</si>
  <si>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</si>
  <si>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</si>
  <si>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</si>
  <si>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</si>
  <si>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</si>
  <si>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</si>
  <si>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</si>
  <si>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</si>
  <si>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</si>
  <si>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</si>
  <si>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</si>
  <si>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</si>
  <si>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</si>
  <si>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</si>
  <si>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</si>
  <si>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</si>
  <si>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</si>
  <si>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</si>
  <si>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</si>
  <si>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</si>
  <si>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</si>
  <si>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</si>
  <si>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</si>
  <si>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</si>
  <si>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</si>
  <si>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</si>
  <si>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</si>
  <si>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</si>
  <si>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</si>
  <si>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</si>
  <si>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</si>
  <si>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</si>
  <si>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</si>
  <si>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</si>
  <si>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</si>
  <si>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</si>
  <si>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</si>
  <si>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</si>
  <si>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</si>
  <si>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</si>
  <si>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</si>
  <si>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</si>
  <si>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</si>
  <si>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</si>
  <si>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</si>
  <si>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</si>
  <si>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</si>
  <si>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</si>
  <si>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</si>
  <si>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</si>
  <si>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</si>
  <si>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</si>
  <si>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</si>
  <si>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</si>
  <si>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</si>
  <si>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</si>
  <si>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</si>
  <si>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</si>
  <si>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</si>
  <si>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</si>
  <si>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</si>
  <si>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</si>
  <si>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</si>
  <si>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</si>
  <si>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</si>
  <si>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</si>
  <si>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</si>
  <si>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</si>
  <si>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</si>
  <si>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</si>
  <si>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</si>
  <si>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</si>
  <si>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</si>
  <si>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</si>
  <si>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</si>
  <si>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</si>
  <si>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</si>
  <si>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</si>
  <si>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</si>
  <si>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</si>
  <si>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</si>
  <si>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</si>
  <si>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</si>
  <si>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</si>
  <si>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</si>
  <si>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</si>
  <si>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</si>
  <si>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</si>
  <si>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</si>
  <si>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</si>
  <si>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</si>
  <si>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</si>
  <si>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</si>
  <si>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</si>
  <si>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</si>
  <si>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</si>
  <si>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</si>
  <si>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</si>
  <si>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</si>
  <si>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</si>
  <si>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</si>
  <si>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</si>
  <si>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</si>
  <si>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</si>
  <si>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</si>
  <si>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</si>
  <si>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</si>
  <si>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</si>
  <si>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</si>
  <si>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</si>
  <si>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</si>
  <si>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</si>
  <si>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</si>
  <si>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</si>
  <si>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</si>
  <si>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</si>
  <si>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</si>
  <si>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</si>
  <si>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</si>
  <si>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</si>
  <si>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</si>
  <si>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</si>
  <si>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</si>
  <si>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</si>
  <si>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</si>
  <si>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</si>
  <si>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</si>
  <si>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</si>
  <si>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</si>
  <si>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</si>
  <si>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</si>
  <si>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</si>
  <si>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</si>
  <si>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</si>
  <si>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</si>
  <si>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</si>
  <si>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</si>
  <si>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</si>
  <si>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</si>
  <si>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</si>
  <si>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</si>
  <si>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</si>
  <si>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</si>
  <si>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</si>
  <si>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</si>
  <si>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</si>
  <si>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</si>
  <si>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</si>
  <si>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</si>
  <si>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</si>
  <si>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</si>
  <si>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</si>
  <si>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</si>
  <si>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</si>
  <si>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</si>
  <si>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</si>
  <si>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</si>
  <si>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</si>
  <si>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</si>
  <si>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</si>
  <si>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</si>
  <si>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</si>
  <si>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</si>
  <si>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</si>
  <si>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</si>
  <si>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</si>
  <si>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</si>
  <si>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</si>
  <si>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</si>
  <si>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</si>
  <si>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</si>
  <si>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</si>
  <si>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</si>
  <si>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</si>
  <si>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</si>
  <si>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</si>
  <si>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</si>
  <si>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</si>
  <si>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</si>
  <si>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</si>
  <si>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</si>
  <si>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</si>
  <si>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</si>
  <si>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</si>
  <si>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</si>
  <si>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</si>
  <si>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</si>
  <si>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</si>
  <si>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</si>
  <si>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</si>
  <si>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</si>
  <si>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</si>
  <si>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</si>
  <si>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</si>
  <si>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</si>
  <si>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</si>
  <si>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</si>
  <si>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</si>
  <si>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</si>
  <si>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</si>
  <si>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</si>
  <si>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</si>
  <si>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</si>
  <si>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</si>
  <si>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</si>
  <si>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</si>
  <si>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</si>
  <si>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</si>
  <si>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</si>
  <si>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</si>
  <si>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</si>
  <si>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</si>
  <si>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</si>
  <si>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</si>
  <si>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</si>
  <si>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</si>
  <si>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</si>
  <si>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</si>
  <si>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</si>
  <si>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</si>
  <si>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</si>
  <si>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</si>
  <si>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</si>
  <si>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</si>
  <si>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</si>
  <si>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</si>
  <si>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</si>
  <si>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</si>
  <si>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</si>
  <si>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</si>
  <si>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</si>
  <si>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</si>
  <si>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</si>
  <si>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</si>
  <si>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</si>
  <si>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</si>
  <si>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</si>
  <si>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</si>
  <si>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</si>
  <si>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</si>
  <si>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</si>
  <si>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</si>
  <si>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</si>
  <si>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</si>
  <si>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</si>
  <si>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</si>
  <si>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</si>
  <si>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</si>
  <si>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</si>
  <si>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</si>
  <si>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</si>
  <si>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</si>
  <si>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</si>
  <si>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</si>
  <si>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</si>
  <si>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</si>
  <si>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</si>
  <si>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</si>
  <si>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</si>
  <si>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</si>
  <si>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</si>
  <si>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</si>
  <si>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</si>
  <si>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</si>
  <si>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</si>
  <si>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</si>
  <si>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</si>
  <si>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</si>
  <si>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</si>
  <si>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</si>
  <si>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</si>
  <si>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</si>
  <si>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</si>
  <si>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</si>
  <si>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</si>
  <si>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</si>
  <si>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</si>
  <si>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</si>
  <si>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</si>
  <si>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</si>
  <si>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</si>
  <si>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</si>
  <si>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</si>
  <si>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</si>
  <si>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</si>
  <si>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</si>
  <si>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</si>
  <si>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</si>
  <si>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</si>
  <si>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</si>
  <si>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</si>
  <si>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</si>
  <si>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</si>
  <si>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</si>
  <si>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</si>
  <si>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</si>
  <si>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</si>
  <si>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</si>
  <si>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</si>
  <si>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</si>
  <si>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</si>
  <si>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</si>
  <si>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</si>
  <si>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</si>
  <si>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</si>
  <si>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</si>
  <si>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</si>
  <si>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</si>
  <si>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</si>
  <si>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</si>
  <si>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</si>
  <si>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</si>
  <si>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</si>
  <si>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</si>
  <si>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</si>
  <si>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</si>
  <si>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</si>
  <si>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</si>
  <si>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</si>
  <si>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</si>
  <si>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</si>
  <si>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</si>
  <si>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</si>
  <si>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</si>
  <si>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</si>
  <si>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</si>
  <si>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</si>
  <si>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</si>
  <si>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</si>
  <si>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</si>
  <si>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</si>
  <si>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</si>
  <si>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</si>
  <si>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</si>
  <si>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</si>
  <si>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</si>
  <si>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</si>
  <si>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</si>
  <si>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</si>
  <si>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</si>
  <si>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</si>
  <si>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</si>
  <si>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</si>
  <si>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</si>
  <si>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</si>
  <si>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</si>
  <si>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</si>
  <si>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</si>
  <si>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</si>
  <si>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</si>
  <si>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</si>
  <si>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</si>
  <si>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</si>
  <si>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</si>
  <si>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</si>
  <si>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</si>
  <si>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</si>
  <si>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</si>
  <si>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</si>
  <si>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</si>
  <si>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</si>
  <si>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</si>
  <si>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</si>
  <si>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</si>
  <si>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</si>
  <si>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</si>
  <si>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</si>
  <si>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</si>
  <si>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</si>
  <si>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</si>
  <si>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</si>
  <si>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</si>
  <si>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</si>
  <si>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</si>
  <si>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</si>
  <si>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</si>
  <si>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</si>
  <si>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</si>
  <si>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</si>
  <si>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</si>
  <si>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</si>
  <si>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</si>
  <si>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</si>
  <si>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</si>
  <si>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</si>
  <si>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</si>
  <si>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</si>
  <si>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</si>
  <si>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</si>
  <si>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</si>
  <si>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</si>
  <si>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</si>
  <si>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</si>
  <si>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</si>
  <si>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</si>
  <si>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</si>
  <si>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</si>
  <si>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</si>
  <si>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</si>
  <si>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</si>
  <si>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</si>
  <si>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</si>
  <si>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</si>
  <si>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</si>
  <si>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</si>
  <si>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</si>
  <si>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</si>
  <si>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</si>
  <si>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</si>
  <si>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</si>
  <si>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</si>
  <si>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</si>
  <si>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</si>
  <si>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</si>
  <si>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</si>
  <si>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</si>
  <si>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</si>
  <si>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</si>
  <si>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</si>
  <si>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</si>
  <si>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</si>
  <si>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</si>
  <si>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</si>
  <si>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</si>
  <si>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</si>
  <si>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</si>
  <si>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</si>
  <si>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</si>
  <si>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</si>
  <si>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</si>
  <si>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</si>
  <si>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</si>
  <si>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</si>
  <si>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</si>
  <si>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</si>
  <si>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</si>
  <si>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</si>
  <si>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</si>
  <si>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</si>
  <si>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</si>
  <si>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</si>
  <si>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</si>
  <si>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</si>
  <si>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</si>
  <si>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</si>
  <si>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</si>
  <si>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</si>
  <si>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</si>
  <si>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</si>
  <si>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</si>
  <si>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</si>
  <si>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</si>
  <si>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</si>
  <si>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</si>
  <si>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</si>
  <si>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</si>
  <si>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</si>
  <si>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</si>
  <si>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</si>
  <si>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</si>
  <si>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</si>
  <si>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</si>
  <si>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</si>
  <si>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</si>
  <si>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</si>
  <si>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</si>
  <si>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</si>
  <si>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</si>
  <si>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</si>
  <si>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</si>
  <si>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</si>
  <si>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</si>
  <si>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</si>
  <si>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</si>
  <si>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</si>
  <si>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</si>
  <si>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</si>
  <si>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</si>
  <si>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</si>
  <si>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</si>
  <si>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</si>
  <si>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</si>
  <si>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</si>
  <si>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</si>
  <si>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</si>
  <si>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</si>
  <si>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</si>
  <si>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</si>
  <si>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</si>
  <si>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</si>
  <si>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</si>
  <si>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</si>
  <si>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</si>
  <si>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</si>
  <si>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</si>
  <si>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</si>
  <si>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</si>
  <si>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</si>
  <si>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</si>
  <si>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</si>
  <si>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</si>
  <si>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</si>
  <si>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</si>
  <si>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</si>
  <si>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</si>
  <si>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</si>
  <si>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</si>
  <si>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</si>
  <si>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</si>
  <si>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</si>
  <si>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</si>
  <si>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</si>
  <si>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</si>
  <si>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</si>
  <si>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</si>
  <si>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</si>
  <si>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</si>
  <si>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</si>
  <si>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</si>
  <si>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</si>
  <si>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</si>
  <si>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</si>
  <si>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</si>
  <si>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</si>
  <si>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</si>
  <si>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</si>
  <si>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</si>
  <si>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</si>
  <si>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</si>
  <si>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</si>
  <si>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</si>
  <si>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</si>
  <si>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</si>
  <si>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</si>
  <si>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</si>
  <si>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</si>
  <si>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</si>
  <si>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</si>
  <si>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</si>
  <si>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</si>
  <si>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</si>
  <si>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</si>
  <si>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</si>
  <si>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</si>
  <si>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</si>
  <si>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</si>
  <si>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</si>
  <si>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</si>
  <si>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</si>
  <si>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</si>
  <si>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</si>
  <si>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</si>
  <si>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</si>
  <si>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</si>
  <si>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</si>
  <si>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</si>
  <si>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</si>
  <si>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</si>
  <si>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</si>
  <si>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</si>
  <si>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</si>
  <si>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</si>
  <si>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</si>
  <si>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</si>
  <si>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</si>
  <si>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</si>
  <si>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</si>
  <si>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</si>
  <si>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</si>
  <si>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</si>
  <si>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</si>
  <si>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</si>
  <si>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</si>
  <si>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</si>
  <si>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</si>
  <si>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</si>
  <si>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</si>
  <si>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</si>
  <si>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</si>
  <si>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</si>
  <si>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</si>
  <si>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</si>
  <si>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</si>
  <si>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</si>
  <si>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</si>
  <si>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</si>
  <si>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</si>
  <si>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</si>
  <si>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</si>
  <si>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</si>
  <si>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</si>
  <si>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</si>
  <si>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</si>
  <si>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</si>
  <si>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</si>
  <si>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</si>
  <si>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</si>
  <si>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</si>
  <si>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</si>
  <si>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</si>
  <si>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</si>
  <si>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</si>
  <si>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</si>
  <si>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</si>
  <si>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</si>
  <si>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</si>
  <si>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</si>
  <si>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</si>
  <si>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</si>
  <si>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</si>
  <si>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</si>
  <si>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</si>
  <si>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</si>
  <si>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</si>
  <si>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</si>
  <si>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</si>
  <si>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</si>
  <si>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</si>
  <si>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</si>
  <si>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</si>
  <si>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</si>
  <si>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</si>
  <si>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</si>
  <si>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</si>
  <si>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</si>
  <si>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</si>
  <si>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</si>
  <si>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</si>
  <si>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</si>
  <si>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</si>
  <si>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</si>
  <si>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</si>
  <si>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</si>
  <si>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</si>
  <si>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</si>
  <si>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</si>
  <si>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</si>
  <si>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</si>
  <si>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</si>
  <si>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</si>
  <si>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</si>
  <si>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</si>
  <si>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</si>
  <si>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</si>
  <si>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</si>
  <si>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</si>
  <si>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</si>
  <si>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</si>
  <si>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</si>
  <si>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</si>
  <si>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</si>
  <si>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</si>
  <si>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</si>
  <si>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</si>
  <si>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</si>
  <si>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</si>
  <si>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</si>
  <si>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</si>
  <si>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</si>
  <si>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</si>
  <si>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</si>
  <si>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</si>
  <si>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</si>
  <si>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</si>
  <si>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</si>
  <si>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</si>
  <si>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</si>
  <si>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</si>
  <si>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</si>
  <si>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</si>
  <si>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</si>
  <si>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</si>
  <si>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</si>
  <si>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</si>
  <si>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</si>
  <si>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</si>
  <si>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</si>
  <si>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</si>
  <si>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</si>
  <si>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</si>
  <si>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</si>
  <si>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</si>
  <si>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</si>
  <si>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</si>
  <si>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</si>
  <si>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</si>
  <si>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</si>
  <si>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</si>
  <si>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</si>
  <si>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</si>
  <si>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</si>
  <si>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</si>
  <si>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</si>
  <si>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</si>
  <si>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</si>
  <si>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</si>
  <si>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</si>
  <si>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</si>
  <si>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</si>
  <si>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</si>
  <si>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</si>
  <si>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</si>
  <si>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</si>
  <si>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</si>
  <si>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</si>
  <si>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</si>
  <si>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</si>
  <si>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</si>
  <si>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</si>
  <si>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</si>
  <si>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</si>
  <si>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</si>
  <si>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</si>
  <si>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</si>
  <si>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</si>
  <si>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</si>
  <si>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</si>
  <si>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</si>
  <si>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</si>
  <si>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</si>
  <si>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</si>
  <si>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</si>
  <si>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</si>
  <si>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</si>
  <si>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</si>
  <si>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</si>
  <si>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</si>
  <si>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</si>
  <si>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</si>
  <si>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</si>
  <si>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</si>
  <si>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</si>
  <si>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</si>
  <si>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</si>
  <si>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</si>
  <si>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</si>
  <si>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</si>
  <si>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</si>
  <si>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</si>
  <si>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</si>
  <si>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</si>
  <si>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</si>
  <si>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</si>
  <si>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</si>
  <si>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</si>
  <si>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</si>
  <si>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</si>
  <si>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</si>
  <si>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</si>
  <si>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</si>
  <si>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</si>
  <si>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</si>
  <si>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</si>
  <si>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</si>
  <si>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</si>
  <si>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</si>
  <si>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</si>
  <si>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</si>
  <si>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</si>
  <si>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</si>
  <si>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</si>
  <si>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</si>
  <si>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</si>
  <si>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</si>
  <si>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</si>
  <si>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</si>
  <si>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</si>
  <si>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</si>
  <si>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</si>
  <si>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</si>
  <si>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</si>
  <si>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</si>
  <si>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</si>
  <si>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</si>
  <si>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</si>
  <si>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</si>
  <si>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</si>
  <si>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</si>
  <si>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</si>
  <si>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</si>
  <si>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</si>
  <si>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</si>
  <si>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</si>
  <si>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</si>
  <si>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</si>
  <si>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</si>
  <si>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</si>
  <si>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</si>
  <si>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</si>
  <si>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</si>
  <si>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</si>
  <si>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</si>
  <si>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</si>
  <si>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</si>
  <si>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</si>
  <si>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</si>
  <si>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</si>
  <si>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</si>
  <si>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</si>
  <si>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</si>
  <si>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</si>
  <si>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</si>
  <si>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</si>
  <si>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</si>
  <si>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</si>
  <si>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</si>
  <si>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</si>
  <si>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</si>
  <si>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</si>
  <si>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</si>
  <si>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</si>
  <si>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</si>
  <si>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</si>
  <si>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</si>
  <si>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</si>
  <si>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</si>
  <si>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</si>
  <si>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</si>
  <si>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</si>
  <si>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</si>
  <si>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</si>
  <si>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</si>
  <si>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</si>
  <si>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</si>
  <si>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</si>
  <si>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</si>
  <si>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</si>
  <si>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</si>
  <si>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</si>
  <si>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</si>
  <si>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</si>
  <si>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</si>
  <si>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</si>
  <si>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</si>
  <si>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</si>
  <si>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</si>
  <si>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</si>
  <si>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</si>
  <si>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</si>
  <si>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</si>
  <si>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</si>
  <si>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</si>
  <si>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</si>
  <si>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</si>
  <si>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</si>
  <si>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</si>
  <si>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</si>
  <si>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</si>
  <si>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</si>
  <si>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</si>
  <si>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</si>
  <si>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</si>
  <si>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</si>
  <si>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</si>
  <si>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</si>
  <si>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</si>
  <si>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</si>
  <si>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</si>
  <si>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</si>
  <si>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</si>
  <si>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</si>
  <si>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</si>
  <si>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</si>
  <si>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</si>
  <si>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</si>
  <si>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</si>
  <si>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</si>
  <si>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</si>
  <si>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</si>
  <si>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</si>
  <si>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</si>
  <si>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</si>
  <si>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</si>
  <si>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</si>
  <si>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</si>
  <si>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</si>
  <si>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</si>
  <si>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</si>
  <si>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</si>
  <si>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</si>
  <si>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</si>
  <si>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</si>
  <si>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</si>
  <si>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</si>
  <si>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</si>
  <si>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</si>
  <si>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</si>
  <si>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</si>
  <si>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</si>
  <si>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</si>
  <si>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</si>
  <si>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</si>
  <si>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</si>
  <si>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</si>
  <si>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</si>
  <si>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</si>
  <si>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</si>
  <si>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</si>
  <si>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</si>
  <si>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</si>
  <si>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</si>
  <si>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</si>
  <si>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</si>
  <si>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</si>
  <si>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</si>
  <si>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</si>
  <si>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</si>
  <si>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</si>
  <si>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</si>
  <si>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</si>
  <si>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</si>
  <si>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</si>
  <si>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</si>
  <si>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</si>
  <si>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</si>
  <si>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</si>
  <si>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</si>
  <si>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</si>
  <si>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</si>
  <si>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</si>
  <si>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</si>
  <si>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</si>
  <si>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</si>
  <si>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</si>
  <si>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</si>
  <si>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</si>
  <si>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</si>
  <si>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</si>
  <si>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</si>
  <si>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</si>
  <si>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</si>
  <si>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</si>
  <si>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</si>
  <si>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</si>
  <si>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</si>
  <si>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</si>
  <si>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</si>
  <si>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</si>
  <si>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</si>
  <si>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</si>
  <si>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</si>
  <si>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</si>
  <si>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</si>
  <si>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</si>
  <si>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</si>
  <si>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</si>
  <si>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</si>
  <si>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</si>
  <si>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</si>
  <si>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</si>
  <si>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</si>
  <si>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</si>
  <si>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</si>
  <si>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</si>
  <si>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</si>
  <si>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</si>
  <si>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</si>
  <si>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</si>
  <si>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</si>
  <si>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</si>
  <si>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</si>
  <si>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</si>
  <si>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</si>
  <si>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</si>
  <si>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</si>
  <si>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</si>
  <si>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</si>
  <si>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</si>
  <si>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</si>
  <si>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</si>
  <si>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</si>
  <si>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</si>
  <si>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</si>
  <si>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</si>
  <si>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</si>
  <si>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</si>
  <si>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</si>
  <si>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</si>
  <si>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</si>
  <si>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</si>
  <si>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</si>
  <si>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</si>
  <si>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</si>
  <si>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</si>
  <si>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</si>
  <si>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</si>
  <si>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</si>
  <si>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</si>
  <si>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</si>
  <si>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</si>
  <si>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</si>
  <si>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</si>
  <si>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</si>
  <si>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</si>
  <si>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</si>
  <si>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</si>
  <si>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</si>
  <si>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</si>
  <si>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</si>
  <si>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</si>
  <si>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</si>
  <si>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</si>
  <si>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</si>
  <si>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</si>
  <si>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</si>
  <si>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</si>
  <si>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</si>
  <si>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</si>
  <si>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</si>
  <si>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</si>
  <si>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</si>
  <si>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</si>
  <si>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</si>
  <si>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</si>
  <si>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</si>
  <si>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</si>
  <si>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</si>
  <si>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</si>
  <si>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</si>
  <si>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</si>
  <si>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</si>
  <si>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</si>
  <si>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</si>
  <si>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</si>
  <si>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</si>
  <si>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</si>
  <si>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</si>
  <si>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</si>
  <si>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</si>
  <si>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</si>
  <si>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</si>
  <si>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</si>
  <si>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</si>
  <si>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</si>
  <si>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</si>
  <si>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</si>
  <si>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</si>
  <si>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</si>
  <si>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</si>
  <si>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</si>
  <si>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</si>
  <si>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</si>
  <si>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</si>
  <si>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</si>
  <si>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</si>
  <si>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</si>
  <si>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</si>
  <si>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</si>
  <si>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</si>
  <si>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</si>
  <si>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</si>
  <si>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</si>
  <si>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</si>
  <si>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</si>
  <si>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</si>
  <si>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</si>
  <si>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</si>
  <si>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</si>
  <si>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</si>
  <si>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</si>
  <si>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</si>
  <si>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</si>
  <si>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</si>
  <si>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</si>
  <si>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</si>
  <si>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</si>
  <si>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</si>
  <si>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</si>
  <si>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</si>
  <si>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</si>
  <si>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</si>
  <si>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</si>
  <si>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</si>
  <si>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</si>
  <si>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</si>
  <si>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</si>
  <si>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</si>
  <si>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</si>
  <si>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</si>
  <si>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</si>
  <si>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</si>
  <si>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</si>
  <si>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</si>
  <si>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</si>
  <si>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</si>
  <si>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</si>
  <si>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</si>
  <si>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</si>
  <si>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</si>
  <si>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</si>
  <si>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</si>
  <si>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</si>
  <si>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</si>
  <si>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</si>
  <si>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</si>
  <si>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</si>
  <si>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</si>
  <si>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</si>
  <si>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</si>
  <si>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</si>
  <si>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</si>
  <si>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</si>
  <si>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</si>
  <si>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</si>
  <si>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</si>
  <si>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</si>
  <si>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</si>
  <si>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</si>
  <si>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</si>
  <si>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</si>
  <si>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</si>
  <si>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</si>
  <si>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</si>
  <si>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</si>
  <si>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</si>
  <si>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</si>
  <si>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</si>
  <si>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</si>
  <si>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</si>
  <si>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</si>
  <si>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</si>
  <si>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</si>
  <si>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</si>
  <si>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</si>
  <si>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</si>
  <si>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</si>
  <si>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</si>
  <si>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</si>
  <si>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</si>
  <si>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</si>
  <si>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</si>
  <si>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</si>
  <si>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</si>
  <si>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</si>
  <si>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</si>
  <si>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</si>
  <si>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</si>
  <si>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</si>
  <si>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</si>
  <si>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</si>
  <si>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</si>
  <si>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</si>
  <si>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</si>
  <si>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</si>
  <si>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</si>
  <si>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</si>
  <si>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</si>
  <si>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</si>
  <si>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</si>
  <si>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</si>
  <si>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</si>
  <si>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</si>
  <si>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</si>
  <si>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</si>
  <si>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</si>
  <si>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</si>
  <si>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</si>
  <si>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</si>
  <si>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</si>
  <si>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</si>
  <si>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</si>
  <si>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</si>
  <si>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</si>
  <si>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</si>
  <si>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</si>
  <si>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</si>
  <si>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</si>
  <si>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</si>
  <si>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</si>
  <si>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</si>
  <si>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</si>
  <si>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</si>
  <si>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</si>
  <si>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</si>
  <si>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</si>
  <si>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</si>
  <si>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</si>
  <si>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</si>
  <si>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</si>
  <si>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</si>
  <si>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</si>
  <si>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</si>
  <si>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</si>
  <si>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</si>
  <si>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</si>
  <si>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</si>
  <si>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</si>
  <si>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</si>
  <si>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</si>
  <si>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</si>
  <si>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</si>
  <si>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</si>
  <si>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</si>
  <si>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</si>
  <si>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</si>
  <si>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</si>
  <si>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</si>
  <si>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</si>
  <si>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</si>
  <si>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</si>
  <si>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</si>
  <si>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</si>
  <si>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</si>
  <si>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</si>
  <si>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</si>
  <si>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</si>
  <si>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</si>
  <si>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</si>
  <si>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</si>
  <si>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</si>
  <si>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</si>
  <si>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</si>
  <si>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</si>
  <si>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</si>
  <si>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</si>
  <si>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</si>
  <si>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</si>
  <si>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</si>
  <si>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</si>
  <si>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</si>
  <si>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</si>
  <si>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</si>
  <si>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</si>
  <si>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</si>
  <si>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</si>
  <si>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</si>
  <si>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</si>
  <si>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</si>
  <si>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</si>
  <si>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</si>
  <si>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</si>
  <si>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</si>
  <si>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</si>
  <si>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</si>
  <si>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</si>
  <si>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</si>
  <si>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</si>
  <si>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</si>
  <si>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</si>
  <si>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</si>
  <si>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</si>
  <si>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</si>
  <si>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</si>
  <si>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</si>
  <si>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</si>
  <si>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</si>
  <si>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</si>
  <si>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</si>
  <si>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</si>
  <si>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</si>
  <si>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</si>
  <si>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</si>
  <si>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</si>
  <si>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</si>
  <si>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</si>
  <si>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</si>
  <si>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</si>
  <si>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</si>
  <si>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</si>
  <si>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</si>
  <si>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</si>
  <si>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</si>
  <si>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</si>
  <si>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</si>
  <si>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</si>
  <si>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</si>
  <si>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</si>
  <si>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</si>
  <si>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</si>
  <si>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</si>
  <si>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</si>
  <si>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</si>
  <si>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</si>
  <si>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</si>
  <si>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</si>
  <si>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</si>
  <si>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</si>
  <si>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</si>
  <si>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</si>
  <si>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</si>
  <si>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</si>
  <si>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</si>
  <si>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</si>
  <si>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</si>
  <si>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</si>
  <si>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</si>
  <si>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</si>
  <si>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</si>
  <si>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</si>
  <si>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</si>
  <si>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</si>
  <si>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</si>
  <si>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</si>
  <si>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</si>
  <si>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</si>
  <si>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</si>
  <si>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</si>
  <si>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</si>
  <si>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</si>
  <si>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</si>
  <si>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</si>
  <si>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</si>
  <si>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</si>
  <si>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</si>
  <si>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</si>
  <si>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</si>
  <si>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</si>
  <si>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</si>
  <si>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</si>
  <si>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</si>
  <si>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</si>
  <si>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</si>
  <si>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</si>
  <si>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</si>
  <si>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</si>
  <si>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</si>
  <si>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</si>
  <si>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</si>
  <si>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</si>
  <si>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</si>
  <si>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</si>
  <si>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</si>
  <si>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</si>
  <si>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</si>
  <si>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</si>
  <si>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</si>
  <si>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</si>
  <si>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</si>
  <si>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</si>
  <si>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</si>
  <si>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</si>
  <si>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</si>
  <si>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</si>
  <si>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</si>
  <si>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</si>
  <si>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</si>
  <si>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</si>
  <si>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</si>
  <si>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</si>
  <si>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</si>
  <si>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</si>
  <si>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</si>
  <si>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</si>
  <si>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</si>
  <si>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</si>
  <si>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</si>
  <si>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</si>
  <si>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</si>
  <si>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</si>
  <si>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</si>
  <si>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</si>
  <si>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</si>
  <si>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</si>
  <si>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</si>
  <si>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</si>
  <si>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</si>
  <si>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</si>
  <si>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</si>
  <si>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</si>
  <si>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</si>
  <si>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</si>
  <si>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</si>
  <si>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</si>
  <si>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</si>
  <si>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</si>
  <si>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</si>
  <si>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</si>
  <si>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</si>
  <si>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</si>
  <si>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</si>
  <si>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</si>
  <si>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</si>
  <si>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</si>
  <si>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</si>
  <si>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</si>
  <si>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</si>
  <si>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</si>
  <si>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</si>
  <si>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</si>
  <si>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</si>
  <si>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</si>
  <si>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</si>
  <si>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</si>
  <si>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</si>
  <si>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</si>
  <si>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</si>
  <si>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</si>
  <si>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</si>
  <si>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</si>
  <si>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</si>
  <si>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</si>
  <si>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</si>
  <si>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</si>
  <si>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</si>
  <si>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</si>
  <si>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</si>
  <si>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</si>
  <si>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</si>
  <si>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</si>
  <si>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</si>
  <si>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</si>
  <si>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</si>
  <si>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</si>
  <si>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</si>
  <si>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</si>
  <si>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</si>
  <si>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</si>
  <si>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</si>
  <si>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</si>
  <si>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</si>
  <si>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</si>
  <si>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</si>
  <si>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</si>
  <si>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</si>
  <si>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</si>
  <si>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</si>
  <si>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</si>
  <si>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</si>
  <si>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</si>
  <si>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</si>
  <si>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</si>
  <si>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</si>
  <si>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</si>
  <si>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</si>
  <si>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</si>
  <si>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</si>
  <si>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</si>
  <si>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</si>
  <si>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</si>
  <si>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</si>
  <si>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</si>
  <si>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</si>
  <si>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</si>
  <si>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</si>
  <si>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</si>
  <si>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</si>
  <si>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</si>
  <si>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</si>
  <si>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</si>
  <si>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</si>
  <si>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</si>
  <si>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</si>
  <si>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</si>
  <si>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</si>
  <si>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</si>
  <si>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</si>
  <si>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</si>
  <si>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</si>
  <si>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</si>
  <si>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</si>
  <si>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</si>
  <si>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</si>
  <si>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</si>
  <si>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</si>
  <si>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</si>
  <si>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</si>
  <si>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</si>
  <si>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</si>
  <si>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</si>
  <si>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</si>
  <si>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</si>
  <si>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</si>
  <si>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</si>
  <si>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</si>
  <si>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</si>
  <si>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</si>
  <si>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</si>
  <si>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</si>
  <si>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</si>
  <si>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</si>
  <si>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</si>
  <si>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</si>
  <si>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</si>
  <si>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</si>
  <si>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</si>
  <si>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</si>
  <si>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</si>
  <si>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</si>
  <si>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</si>
  <si>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</si>
  <si>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</si>
  <si>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</si>
  <si>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</si>
  <si>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</si>
  <si>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</si>
  <si>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</si>
  <si>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</si>
  <si>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</si>
  <si>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</si>
  <si>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</si>
  <si>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</si>
  <si>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</si>
  <si>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</si>
  <si>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</si>
  <si>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</si>
  <si>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</si>
  <si>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</si>
  <si>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</si>
  <si>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</si>
  <si>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</si>
  <si>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</si>
  <si>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</si>
  <si>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</si>
  <si>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</si>
  <si>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</si>
  <si>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</si>
  <si>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</si>
  <si>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</si>
  <si>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</si>
  <si>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</si>
  <si>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</si>
  <si>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</si>
  <si>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</si>
  <si>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</si>
  <si>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</si>
  <si>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</si>
  <si>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</si>
  <si>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</si>
  <si>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</si>
  <si>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</si>
  <si>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</si>
  <si>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</si>
  <si>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</si>
  <si>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</si>
  <si>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</si>
  <si>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</si>
  <si>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</si>
  <si>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</si>
  <si>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</si>
  <si>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</si>
  <si>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</si>
  <si>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</si>
  <si>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</si>
  <si>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</si>
  <si>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</si>
  <si>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</si>
  <si>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</si>
  <si>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</si>
  <si>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</si>
  <si>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</si>
  <si>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</si>
  <si>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</si>
  <si>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</si>
  <si>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</si>
  <si>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</si>
  <si>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</si>
  <si>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</si>
  <si>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</si>
  <si>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</si>
  <si>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</si>
  <si>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</si>
  <si>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</si>
  <si>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</si>
  <si>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</si>
  <si>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</si>
  <si>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</si>
  <si>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</si>
  <si>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</si>
  <si>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</si>
  <si>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</si>
  <si>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</si>
  <si>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</si>
  <si>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</si>
  <si>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</si>
  <si>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</si>
  <si>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</si>
  <si>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</si>
  <si>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</si>
  <si>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</si>
  <si>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</si>
  <si>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</si>
  <si>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</si>
  <si>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</si>
  <si>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</si>
  <si>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</si>
  <si>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</si>
  <si>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</si>
  <si>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</si>
  <si>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</si>
  <si>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</si>
  <si>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</si>
  <si>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</si>
  <si>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</si>
  <si>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</si>
  <si>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</si>
  <si>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</si>
  <si>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</si>
  <si>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</si>
  <si>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</si>
  <si>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</si>
  <si>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</si>
  <si>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</si>
  <si>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</si>
  <si>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</si>
  <si>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</si>
  <si>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</si>
  <si>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</si>
  <si>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</si>
  <si>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</si>
  <si>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</si>
  <si>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</si>
  <si>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</si>
  <si>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</si>
  <si>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</si>
  <si>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</si>
  <si>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</si>
  <si>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</si>
  <si>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</si>
  <si>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</si>
  <si>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</si>
  <si>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</si>
  <si>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</si>
  <si>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</si>
  <si>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</si>
  <si>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</si>
  <si>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</si>
  <si>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</si>
  <si>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</si>
  <si>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</si>
  <si>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</si>
  <si>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</si>
  <si>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</si>
  <si>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</si>
  <si>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</si>
  <si>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</si>
  <si>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</si>
  <si>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</si>
  <si>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</si>
  <si>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</si>
  <si>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</si>
  <si>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</si>
  <si>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</si>
  <si>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</si>
  <si>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</si>
  <si>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</si>
  <si>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</si>
  <si>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</si>
  <si>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</si>
  <si>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</si>
  <si>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</si>
  <si>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</si>
  <si>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</si>
  <si>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</si>
  <si>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</si>
  <si>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</si>
  <si>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</si>
  <si>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</si>
  <si>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</si>
  <si>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</si>
  <si>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</si>
  <si>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</si>
  <si>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</si>
  <si>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</si>
  <si>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</si>
  <si>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</si>
  <si>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</si>
  <si>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</si>
  <si>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</si>
  <si>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</si>
  <si>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</si>
  <si>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</si>
  <si>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</si>
  <si>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</si>
  <si>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</si>
  <si>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</si>
  <si>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</si>
  <si>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</si>
  <si>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</si>
  <si>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</si>
  <si>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</si>
  <si>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</si>
  <si>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</si>
  <si>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</si>
  <si>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</si>
  <si>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</si>
  <si>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</si>
  <si>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</si>
  <si>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</si>
  <si>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</si>
  <si>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</si>
  <si>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</si>
  <si>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</si>
  <si>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</si>
  <si>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</si>
  <si>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</si>
  <si>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</si>
  <si>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</si>
  <si>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</si>
  <si>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</si>
  <si>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</si>
  <si>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</si>
  <si>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</si>
  <si>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</si>
  <si>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</si>
  <si>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</si>
  <si>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</si>
  <si>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</si>
  <si>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</si>
  <si>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</si>
  <si>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</si>
  <si>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</si>
  <si>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</si>
  <si>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</si>
  <si>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</si>
  <si>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</si>
  <si>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</si>
  <si>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</si>
  <si>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</si>
  <si>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</si>
  <si>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</si>
  <si>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</si>
  <si>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</si>
  <si>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</si>
  <si>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</si>
  <si>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</si>
  <si>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</si>
  <si>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</si>
  <si>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</si>
  <si>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</si>
  <si>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</si>
  <si>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</si>
  <si>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</si>
  <si>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</si>
  <si>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</si>
  <si>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</si>
  <si>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</si>
  <si>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</si>
  <si>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</si>
  <si>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</si>
  <si>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</si>
  <si>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</si>
  <si>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</si>
  <si>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</si>
  <si>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</si>
  <si>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</si>
  <si>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</si>
  <si>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</si>
  <si>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</si>
  <si>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</si>
  <si>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</si>
  <si>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</si>
  <si>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</si>
  <si>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</si>
  <si>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</si>
  <si>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</si>
  <si>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</si>
  <si>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</si>
  <si>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</si>
  <si>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</si>
  <si>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</si>
  <si>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</si>
  <si>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</si>
  <si>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</si>
  <si>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</si>
  <si>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</si>
  <si>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</si>
  <si>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</si>
  <si>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</si>
  <si>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</si>
  <si>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</si>
  <si>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</si>
  <si>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</si>
  <si>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</si>
  <si>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</si>
  <si>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</si>
  <si>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</si>
  <si>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</si>
  <si>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</si>
  <si>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</si>
  <si>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</si>
  <si>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</si>
  <si>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</si>
  <si>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</si>
  <si>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</si>
  <si>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</si>
  <si>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</si>
  <si>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</si>
  <si>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</si>
  <si>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</si>
  <si>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</si>
  <si>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</si>
  <si>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</si>
  <si>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</si>
  <si>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</si>
  <si>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</si>
  <si>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</si>
  <si>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</si>
  <si>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</si>
  <si>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</si>
  <si>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</si>
  <si>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</si>
  <si>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</si>
  <si>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</si>
  <si>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</si>
  <si>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</si>
  <si>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</si>
  <si>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</si>
  <si>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</si>
  <si>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</si>
  <si>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</si>
  <si>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</si>
  <si>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</si>
  <si>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</si>
  <si>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</si>
  <si>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</si>
  <si>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</si>
  <si>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</si>
  <si>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</si>
  <si>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</si>
  <si>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</si>
  <si>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</si>
  <si>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</si>
  <si>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</si>
  <si>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</si>
  <si>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</si>
  <si>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</si>
  <si>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</si>
  <si>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</si>
  <si>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</si>
  <si>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</si>
  <si>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</si>
  <si>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</si>
  <si>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</si>
  <si>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</si>
  <si>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</si>
  <si>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</si>
  <si>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</si>
  <si>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</si>
  <si>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</si>
  <si>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</si>
  <si>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</si>
  <si>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</si>
  <si>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</si>
  <si>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</si>
  <si>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</si>
  <si>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</si>
  <si>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</si>
  <si>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</si>
  <si>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</si>
  <si>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</si>
  <si>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</si>
  <si>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</si>
  <si>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</si>
  <si>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</si>
  <si>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</si>
  <si>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</si>
  <si>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</si>
  <si>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</si>
  <si>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</si>
  <si>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</si>
  <si>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</si>
  <si>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</si>
  <si>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</si>
  <si>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</si>
  <si>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</si>
  <si>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</si>
  <si>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</si>
  <si>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</si>
  <si>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</si>
  <si>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</si>
  <si>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</si>
  <si>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</si>
  <si>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</si>
  <si>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</si>
  <si>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</si>
  <si>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</si>
  <si>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</si>
  <si>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</si>
  <si>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</si>
  <si>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</si>
  <si>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</si>
  <si>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</si>
  <si>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</si>
  <si>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</si>
  <si>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</si>
  <si>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</si>
  <si>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</si>
  <si>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</si>
  <si>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</si>
  <si>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</si>
  <si>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</si>
  <si>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</si>
  <si>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</si>
  <si>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</si>
  <si>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</si>
  <si>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</si>
  <si>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</si>
  <si>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</si>
  <si>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</si>
  <si>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</si>
  <si>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</si>
  <si>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</si>
  <si>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</si>
  <si>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</si>
  <si>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</si>
  <si>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</si>
  <si>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</si>
  <si>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</si>
  <si>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</si>
  <si>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</si>
  <si>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</si>
  <si>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</si>
  <si>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</si>
  <si>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</si>
  <si>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</si>
  <si>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</si>
  <si>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</si>
  <si>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</si>
  <si>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</si>
  <si>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</si>
  <si>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</si>
  <si>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</si>
  <si>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</si>
  <si>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</si>
  <si>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</si>
  <si>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</si>
  <si>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</si>
  <si>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</si>
  <si>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</si>
  <si>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</si>
  <si>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</si>
  <si>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</si>
  <si>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</si>
  <si>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</si>
  <si>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</si>
  <si>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</si>
  <si>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</si>
  <si>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</si>
  <si>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</si>
  <si>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</si>
  <si>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</si>
  <si>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</si>
  <si>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</si>
  <si>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</si>
  <si>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</si>
  <si>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</si>
  <si>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</si>
  <si>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</si>
  <si>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</si>
  <si>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</si>
  <si>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</si>
  <si>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</si>
  <si>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</si>
  <si>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</si>
  <si>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</si>
  <si>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</si>
  <si>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</si>
  <si>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</si>
  <si>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</si>
  <si>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</si>
  <si>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</si>
  <si>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</si>
  <si>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</si>
  <si>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</si>
  <si>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</si>
  <si>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</si>
  <si>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</si>
  <si>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</si>
  <si>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</si>
  <si>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</si>
  <si>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</si>
  <si>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</si>
  <si>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</si>
  <si>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</si>
  <si>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</si>
  <si>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</si>
  <si>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</si>
  <si>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</si>
  <si>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</si>
  <si>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</si>
  <si>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</si>
  <si>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</si>
  <si>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</si>
  <si>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</si>
  <si>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</si>
  <si>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</si>
  <si>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</si>
  <si>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</si>
  <si>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</si>
  <si>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</si>
  <si>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</si>
  <si>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</si>
  <si>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</si>
  <si>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</si>
  <si>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</si>
  <si>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</si>
  <si>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</si>
  <si>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</si>
  <si>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</si>
  <si>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</si>
  <si>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</si>
  <si>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</si>
  <si>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</si>
  <si>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</si>
  <si>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</si>
  <si>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</si>
  <si>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</si>
  <si>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</si>
  <si>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</si>
  <si>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</si>
  <si>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</si>
  <si>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</si>
  <si>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</si>
  <si>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</si>
  <si>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</si>
  <si>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</si>
  <si>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</si>
  <si>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</si>
  <si>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</si>
  <si>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</si>
  <si>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</si>
  <si>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</si>
  <si>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</si>
  <si>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</si>
  <si>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</si>
  <si>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</si>
  <si>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</si>
  <si>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</si>
  <si>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</si>
  <si>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</si>
  <si>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</si>
  <si>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</si>
  <si>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</si>
  <si>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</si>
  <si>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</si>
  <si>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</si>
  <si>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</si>
  <si>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</si>
  <si>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</si>
  <si>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</si>
  <si>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</si>
  <si>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</si>
  <si>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</si>
  <si>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</si>
  <si>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</si>
  <si>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</si>
  <si>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</si>
  <si>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</si>
  <si>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</si>
  <si>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</si>
  <si>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</si>
  <si>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</si>
  <si>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</si>
  <si>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</si>
  <si>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</si>
  <si>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</si>
  <si>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</si>
  <si>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</si>
  <si>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</si>
  <si>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</si>
  <si>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</si>
  <si>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</si>
  <si>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</si>
  <si>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</si>
  <si>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</si>
  <si>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</si>
  <si>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</si>
  <si>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</si>
  <si>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</si>
  <si>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</si>
  <si>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</si>
  <si>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</si>
  <si>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</si>
  <si>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</si>
  <si>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</si>
  <si>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</si>
  <si>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</si>
  <si>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</si>
  <si>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</si>
  <si>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</si>
  <si>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</si>
  <si>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</si>
  <si>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</si>
  <si>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</si>
  <si>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</si>
  <si>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</si>
  <si>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</si>
  <si>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</si>
  <si>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</si>
  <si>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</si>
  <si>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</si>
  <si>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</si>
  <si>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</si>
  <si>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</si>
  <si>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</si>
  <si>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</si>
  <si>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</si>
  <si>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</si>
  <si>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</si>
  <si>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</si>
  <si>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</si>
  <si>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</si>
  <si>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</si>
  <si>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</si>
  <si>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</si>
  <si>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</si>
  <si>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</si>
  <si>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</si>
  <si>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</si>
  <si>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</si>
  <si>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</si>
  <si>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</si>
  <si>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</si>
  <si>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</si>
  <si>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</si>
  <si>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</si>
  <si>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</si>
  <si>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</si>
  <si>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</si>
  <si>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</si>
  <si>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</si>
  <si>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</si>
  <si>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</si>
  <si>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</si>
  <si>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</si>
  <si>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</si>
  <si>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</si>
  <si>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</si>
  <si>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</si>
  <si>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</si>
  <si>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</si>
  <si>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</si>
  <si>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</si>
  <si>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</si>
  <si>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</si>
  <si>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</si>
  <si>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</si>
  <si>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</si>
  <si>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</si>
  <si>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</si>
  <si>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</si>
  <si>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</si>
  <si>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</si>
  <si>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</si>
  <si>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</si>
  <si>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</si>
  <si>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</si>
  <si>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</si>
  <si>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</si>
  <si>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</si>
  <si>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</si>
  <si>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</si>
  <si>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</si>
  <si>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</si>
  <si>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</si>
  <si>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</si>
  <si>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</si>
  <si>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</si>
  <si>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</si>
  <si>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</si>
  <si>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</si>
  <si>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</si>
  <si>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</si>
  <si>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</si>
  <si>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</si>
  <si>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</si>
  <si>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</si>
  <si>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</si>
  <si>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</si>
  <si>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</si>
  <si>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</si>
  <si>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</si>
  <si>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</si>
  <si>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</si>
  <si>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</si>
  <si>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</si>
  <si>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</si>
  <si>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</si>
  <si>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</si>
  <si>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</si>
  <si>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</si>
  <si>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</si>
  <si>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</si>
  <si>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</si>
  <si>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</si>
  <si>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</si>
  <si>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</si>
  <si>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</si>
  <si>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</si>
  <si>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</si>
  <si>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</si>
  <si>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</si>
  <si>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</si>
  <si>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</si>
  <si>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</si>
  <si>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</si>
  <si>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</si>
  <si>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</si>
  <si>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</si>
  <si>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</si>
  <si>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</si>
  <si>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</si>
  <si>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</si>
  <si>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</si>
  <si>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</si>
  <si>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</si>
  <si>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</si>
  <si>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</si>
  <si>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</si>
  <si>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</si>
  <si>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</si>
  <si>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</si>
  <si>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</si>
  <si>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</si>
  <si>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</si>
  <si>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</si>
  <si>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</si>
  <si>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</si>
  <si>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</si>
  <si>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</si>
  <si>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</si>
  <si>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</si>
  <si>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</si>
  <si>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</si>
  <si>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</si>
  <si>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</si>
  <si>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</si>
  <si>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</si>
  <si>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</si>
  <si>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</si>
  <si>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</si>
  <si>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</si>
  <si>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</si>
  <si>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</si>
  <si>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</si>
  <si>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</si>
  <si>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</si>
  <si>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</si>
  <si>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</si>
  <si>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</si>
  <si>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</si>
  <si>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</si>
  <si>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</si>
  <si>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</si>
  <si>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</si>
  <si>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</si>
  <si>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</si>
  <si>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</si>
  <si>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</si>
  <si>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</si>
  <si>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</si>
  <si>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</si>
  <si>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</si>
  <si>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</si>
  <si>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</si>
  <si>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</si>
  <si>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</si>
  <si>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</si>
  <si>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</si>
  <si>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</si>
  <si>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</si>
  <si>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</si>
  <si>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</si>
  <si>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</si>
  <si>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</si>
  <si>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</si>
  <si>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</si>
  <si>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</si>
  <si>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</si>
  <si>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</si>
  <si>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</si>
  <si>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</si>
  <si>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</si>
  <si>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</si>
  <si>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</si>
  <si>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</si>
  <si>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</si>
  <si>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</si>
  <si>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</si>
  <si>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</si>
  <si>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</si>
  <si>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</si>
  <si>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</si>
  <si>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</si>
  <si>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</si>
  <si>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</si>
  <si>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</si>
  <si>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</si>
  <si>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</si>
  <si>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</si>
  <si>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</si>
  <si>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</si>
  <si>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</si>
  <si>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</si>
  <si>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</si>
  <si>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</si>
  <si>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</si>
  <si>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</si>
  <si>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</si>
  <si>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</si>
  <si>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</si>
  <si>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</si>
  <si>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</si>
  <si>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</si>
  <si>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</si>
  <si>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</si>
  <si>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</si>
  <si>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</si>
  <si>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</si>
  <si>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</si>
  <si>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</si>
  <si>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</si>
  <si>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</si>
  <si>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</si>
  <si>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</si>
  <si>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</si>
  <si>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</si>
  <si>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</si>
  <si>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</si>
  <si>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</si>
  <si>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</si>
  <si>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</si>
  <si>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</si>
  <si>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</si>
  <si>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</si>
  <si>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</si>
  <si>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</si>
  <si>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</si>
  <si>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</si>
  <si>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</si>
  <si>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</si>
  <si>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</si>
  <si>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</si>
  <si>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</si>
  <si>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</si>
  <si>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</si>
  <si>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</si>
  <si>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</si>
  <si>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</si>
  <si>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</si>
  <si>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</si>
  <si>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</si>
  <si>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</si>
  <si>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</si>
  <si>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</si>
  <si>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</si>
  <si>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</si>
  <si>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</si>
  <si>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</si>
  <si>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</si>
  <si>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</si>
  <si>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</si>
  <si>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</si>
  <si>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</si>
  <si>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</si>
  <si>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</si>
  <si>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</si>
  <si>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</si>
  <si>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</si>
  <si>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</si>
  <si>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</si>
  <si>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</si>
  <si>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</si>
  <si>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</si>
  <si>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</si>
  <si>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</si>
  <si>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</si>
  <si>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</si>
  <si>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</si>
  <si>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</si>
  <si>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</si>
  <si>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</si>
  <si>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</si>
  <si>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</si>
  <si>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</si>
  <si>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</si>
  <si>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</si>
  <si>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</si>
  <si>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</si>
  <si>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</si>
  <si>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</si>
  <si>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</si>
  <si>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</si>
  <si>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</si>
  <si>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</si>
  <si>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</si>
  <si>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</si>
  <si>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</si>
  <si>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</si>
  <si>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</si>
  <si>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</si>
  <si>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</si>
  <si>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</si>
  <si>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</si>
  <si>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</si>
  <si>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</si>
  <si>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</si>
  <si>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</si>
  <si>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</si>
  <si>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</si>
  <si>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</si>
  <si>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</si>
  <si>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</si>
  <si>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</si>
  <si>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</si>
  <si>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</si>
  <si>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</si>
  <si>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</si>
  <si>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</si>
  <si>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</si>
  <si>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</si>
  <si>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</si>
  <si>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</si>
  <si>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</si>
  <si>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</si>
  <si>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</si>
  <si>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</si>
  <si>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</si>
  <si>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</si>
  <si>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</si>
  <si>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</si>
  <si>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</si>
  <si>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</si>
  <si>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</si>
  <si>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</si>
  <si>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</si>
  <si>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</si>
  <si>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</si>
  <si>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</si>
  <si>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</si>
  <si>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</si>
  <si>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</si>
  <si>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</si>
  <si>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</si>
  <si>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</si>
  <si>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</si>
  <si>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</si>
  <si>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</si>
  <si>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</si>
  <si>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</si>
  <si>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</si>
  <si>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</si>
  <si>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</si>
  <si>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</si>
  <si>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</si>
  <si>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</si>
  <si>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</si>
  <si>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</si>
  <si>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</si>
  <si>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</si>
  <si>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</si>
  <si>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</si>
  <si>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</si>
  <si>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</si>
  <si>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</si>
  <si>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</si>
  <si>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</si>
  <si>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</si>
  <si>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</si>
  <si>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</si>
  <si>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</si>
  <si>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</si>
  <si>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</si>
  <si>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</si>
  <si>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</si>
  <si>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</si>
  <si>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</si>
  <si>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</si>
  <si>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</si>
  <si>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</si>
  <si>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</si>
  <si>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</si>
  <si>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</si>
  <si>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</si>
  <si>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</si>
  <si>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</si>
  <si>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</si>
  <si>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</si>
  <si>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</si>
  <si>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</si>
  <si>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</si>
  <si>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</si>
  <si>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</si>
  <si>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</si>
  <si>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</si>
  <si>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</si>
  <si>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</si>
  <si>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</si>
  <si>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</si>
  <si>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</si>
  <si>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</si>
  <si>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</si>
  <si>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</si>
  <si>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</si>
  <si>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</si>
  <si>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</si>
  <si>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</si>
  <si>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</si>
  <si>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</si>
  <si>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</si>
  <si>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</si>
  <si>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</si>
  <si>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</si>
  <si>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</si>
  <si>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</si>
  <si>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</si>
  <si>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</si>
  <si>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</si>
  <si>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</si>
  <si>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</si>
  <si>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</si>
  <si>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</si>
  <si>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</si>
  <si>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</si>
  <si>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</si>
  <si>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</si>
  <si>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</si>
  <si>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</si>
  <si>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</si>
  <si>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</si>
  <si>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</si>
  <si>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</si>
  <si>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</si>
  <si>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</si>
  <si>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</si>
  <si>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</si>
  <si>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</si>
  <si>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</si>
  <si>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</si>
  <si>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</si>
  <si>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</si>
  <si>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</si>
  <si>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</si>
  <si>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</si>
  <si>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</si>
  <si>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</si>
  <si>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</si>
  <si>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</si>
  <si>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</si>
  <si>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</si>
  <si>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</si>
  <si>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</si>
  <si>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</si>
  <si>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</si>
  <si>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</si>
  <si>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</si>
  <si>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</si>
  <si>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</si>
  <si>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</si>
  <si>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</si>
  <si>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</si>
  <si>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</si>
  <si>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</si>
  <si>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</si>
  <si>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</si>
  <si>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</si>
  <si>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</si>
  <si>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</si>
  <si>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</si>
  <si>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</si>
  <si>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</si>
  <si>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</si>
  <si>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</si>
  <si>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</si>
  <si>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</si>
  <si>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</si>
  <si>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</si>
  <si>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</si>
  <si>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</si>
  <si>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</si>
  <si>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</si>
  <si>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</si>
  <si>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</si>
  <si>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</si>
  <si>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</si>
  <si>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</si>
  <si>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</si>
  <si>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</si>
  <si>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</si>
  <si>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</si>
  <si>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</si>
  <si>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</si>
  <si>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</si>
  <si>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</si>
  <si>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</si>
  <si>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</si>
  <si>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</si>
  <si>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</si>
  <si>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</si>
  <si>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</si>
  <si>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</si>
  <si>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</si>
  <si>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</si>
  <si>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</si>
  <si>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</si>
  <si>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</si>
  <si>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</si>
  <si>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</si>
  <si>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</si>
  <si>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</si>
  <si>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</si>
  <si>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</si>
  <si>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</si>
  <si>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</si>
  <si>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</si>
  <si>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</si>
  <si>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</si>
  <si>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</si>
  <si>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</si>
  <si>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</si>
  <si>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</si>
  <si>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</si>
  <si>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</si>
  <si>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</si>
  <si>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</si>
  <si>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</si>
  <si>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</si>
  <si>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</si>
  <si>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</si>
  <si>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</si>
  <si>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</si>
  <si>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</si>
  <si>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</si>
  <si>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</si>
  <si>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</si>
  <si>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</si>
  <si>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9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</si>
  <si>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</si>
  <si>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9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</si>
  <si>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</si>
  <si>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</si>
  <si>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</si>
  <si>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</si>
  <si>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9" type="noConversion"/>
  </si>
  <si>
    <t>Longitude:</t>
    <phoneticPr fontId="9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</si>
  <si>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</si>
  <si>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</si>
  <si>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</si>
  <si>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</si>
  <si>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</si>
  <si>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</si>
  <si>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</si>
  <si>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9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</si>
  <si>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</si>
  <si>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</si>
  <si>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</si>
  <si>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</si>
  <si>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</si>
  <si>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9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</si>
  <si>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</si>
  <si>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</si>
  <si>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</si>
  <si>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</si>
  <si>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</si>
  <si>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</si>
  <si>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</si>
  <si>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</si>
  <si>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</si>
  <si>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</si>
  <si>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</si>
  <si>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</si>
  <si>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</si>
  <si>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</si>
  <si>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</si>
  <si>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</si>
  <si>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</si>
  <si>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</si>
  <si>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</si>
  <si>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</si>
  <si>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</si>
  <si>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</si>
  <si>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</si>
  <si>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</si>
  <si>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</si>
  <si>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</si>
  <si>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</si>
  <si>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</si>
  <si>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</si>
  <si>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</si>
  <si>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</si>
  <si>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D7p Ca, D5-6c, D4r, D3i, D1-2p, C7b, C1-2r</t>
  </si>
  <si>
    <t>Ribes sp.</t>
  </si>
  <si>
    <t>Exotic Lonicera spp.</t>
  </si>
  <si>
    <t>Viola sororia</t>
  </si>
  <si>
    <t>Cf. Angelica atropurpurea</t>
  </si>
  <si>
    <t>Unknown forb</t>
  </si>
  <si>
    <t>H1-3p</t>
  </si>
  <si>
    <t>G1-2p</t>
  </si>
  <si>
    <t>Carex cf. pennsylvanica</t>
  </si>
  <si>
    <t>LBRP72022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</si>
</sst>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2" fillId="0" borderId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19" applyNumberFormat="0" applyAlignment="0" applyProtection="0"/>
    <xf numFmtId="0" fontId="25" fillId="6" borderId="20" applyNumberFormat="0" applyAlignment="0" applyProtection="0"/>
    <xf numFmtId="0" fontId="26" fillId="6" borderId="19" applyNumberFormat="0" applyAlignment="0" applyProtection="0"/>
    <xf numFmtId="0" fontId="27" fillId="0" borderId="21" applyNumberFormat="0" applyFill="0" applyAlignment="0" applyProtection="0"/>
    <xf numFmtId="0" fontId="28" fillId="7" borderId="22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24" applyNumberFormat="0" applyFill="0" applyAlignment="0" applyProtection="0"/>
    <xf numFmtId="0" fontId="3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2" fillId="32" borderId="0" applyNumberFormat="0" applyBorder="0" applyAlignment="0" applyProtection="0"/>
    <xf numFmtId="0" fontId="34" fillId="0" borderId="0"/>
    <xf numFmtId="0" fontId="12" fillId="0" borderId="0"/>
    <xf numFmtId="0" fontId="6" fillId="0" borderId="0"/>
    <xf numFmtId="0" fontId="6" fillId="8" borderId="23" applyNumberFormat="0" applyFont="0" applyAlignment="0" applyProtection="0"/>
    <xf numFmtId="0" fontId="5" fillId="0" borderId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9" fillId="0" borderId="0"/>
    <xf numFmtId="0" fontId="5" fillId="0" borderId="0"/>
    <xf numFmtId="0" fontId="5" fillId="8" borderId="23" applyNumberFormat="0" applyFont="0" applyAlignment="0" applyProtection="0"/>
    <xf numFmtId="0" fontId="12" fillId="0" borderId="0"/>
  </cellStyleXfs>
  <cellXfs count="152">
    <xf numFmtId="0" fontId="0" fillId="0" borderId="0" xfId="0"/>
    <xf numFmtId="0" fontId="7" fillId="0" borderId="0" xfId="0" applyFont="1"/>
    <xf numFmtId="0" fontId="10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8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2" fillId="0" borderId="0" xfId="0" applyFont="1"/>
    <xf numFmtId="0" fontId="12" fillId="0" borderId="0" xfId="1"/>
    <xf numFmtId="0" fontId="11" fillId="0" borderId="0" xfId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8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2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8" fillId="0" borderId="0" xfId="0" applyFont="1" applyFill="1" applyBorder="1" applyAlignment="1">
      <alignment horizontal="center"/>
    </xf>
    <xf numFmtId="14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5" fillId="0" borderId="0" xfId="0" applyFont="1"/>
    <xf numFmtId="0" fontId="16" fillId="0" borderId="0" xfId="0" applyFont="1" applyAlignment="1">
      <alignment vertical="center"/>
    </xf>
    <xf numFmtId="0" fontId="12" fillId="0" borderId="0" xfId="0" applyFont="1" applyAlignment="1"/>
    <xf numFmtId="0" fontId="0" fillId="0" borderId="0" xfId="0" applyBorder="1"/>
    <xf numFmtId="0" fontId="7" fillId="0" borderId="15" xfId="0" applyFont="1" applyBorder="1"/>
    <xf numFmtId="0" fontId="0" fillId="0" borderId="0" xfId="0"/>
    <xf numFmtId="0" fontId="0" fillId="0" borderId="0" xfId="0"/>
    <xf numFmtId="0" fontId="33" fillId="0" borderId="25" xfId="0" applyFont="1" applyBorder="1"/>
    <xf numFmtId="0" fontId="33" fillId="0" borderId="25" xfId="0" applyFont="1" applyFill="1" applyBorder="1"/>
    <xf numFmtId="0" fontId="33" fillId="0" borderId="25" xfId="0" applyNumberFormat="1" applyFont="1" applyBorder="1"/>
    <xf numFmtId="0" fontId="34" fillId="0" borderId="0" xfId="0" applyFont="1" applyFill="1"/>
    <xf numFmtId="0" fontId="0" fillId="0" borderId="0" xfId="0" quotePrefix="1" applyNumberFormat="1"/>
    <xf numFmtId="0" fontId="34" fillId="0" borderId="0" xfId="0" quotePrefix="1" applyNumberFormat="1" applyFont="1"/>
    <xf numFmtId="0" fontId="0" fillId="0" borderId="0" xfId="0" applyNumberFormat="1"/>
    <xf numFmtId="0" fontId="34" fillId="0" borderId="0" xfId="0" applyFont="1"/>
    <xf numFmtId="0" fontId="34" fillId="0" borderId="0" xfId="0" quotePrefix="1" applyNumberFormat="1" applyFont="1" applyFill="1"/>
    <xf numFmtId="0" fontId="35" fillId="0" borderId="0" xfId="0" applyFont="1"/>
    <xf numFmtId="0" fontId="7" fillId="0" borderId="15" xfId="1" applyFont="1" applyFill="1" applyBorder="1"/>
    <xf numFmtId="0" fontId="12" fillId="0" borderId="0" xfId="0" applyFont="1" applyAlignment="1">
      <alignment vertical="center"/>
    </xf>
    <xf numFmtId="0" fontId="0" fillId="0" borderId="15" xfId="0" applyBorder="1"/>
    <xf numFmtId="0" fontId="12" fillId="0" borderId="0" xfId="1"/>
    <xf numFmtId="0" fontId="12" fillId="0" borderId="0" xfId="1" applyFont="1"/>
    <xf numFmtId="0" fontId="7" fillId="0" borderId="0" xfId="1" applyFont="1"/>
    <xf numFmtId="0" fontId="7" fillId="0" borderId="15" xfId="1" applyFont="1" applyBorder="1"/>
    <xf numFmtId="0" fontId="12" fillId="0" borderId="0" xfId="1" applyBorder="1"/>
    <xf numFmtId="0" fontId="7" fillId="0" borderId="0" xfId="1" applyFont="1" applyFill="1"/>
    <xf numFmtId="0" fontId="37" fillId="0" borderId="26" xfId="0" applyFont="1" applyBorder="1"/>
    <xf numFmtId="0" fontId="37" fillId="0" borderId="25" xfId="0" applyFont="1" applyBorder="1"/>
    <xf numFmtId="0" fontId="37" fillId="0" borderId="27" xfId="0" applyFont="1" applyBorder="1"/>
    <xf numFmtId="0" fontId="36" fillId="0" borderId="28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4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5" fillId="0" borderId="0" xfId="46"/>
    <xf numFmtId="0" fontId="34" fillId="0" borderId="0" xfId="59" applyFont="1" applyFill="1"/>
    <xf numFmtId="0" fontId="12" fillId="0" borderId="15" xfId="0" applyFont="1" applyBorder="1" applyAlignment="1">
      <alignment vertical="center"/>
    </xf>
    <xf numFmtId="0" fontId="12" fillId="0" borderId="30" xfId="1" applyBorder="1"/>
    <xf numFmtId="0" fontId="12" fillId="0" borderId="15" xfId="1" applyFont="1" applyBorder="1"/>
    <xf numFmtId="0" fontId="12" fillId="0" borderId="0" xfId="0" applyFont="1"/>
    <xf numFmtId="0" fontId="7" fillId="0" borderId="0" xfId="0" applyFont="1"/>
    <xf numFmtId="0" fontId="0" fillId="0" borderId="0" xfId="0"/>
    <xf numFmtId="0" fontId="0" fillId="0" borderId="0" xfId="0"/>
    <xf numFmtId="0" fontId="7" fillId="0" borderId="0" xfId="0" applyFont="1" applyAlignment="1">
      <alignment horizontal="right"/>
    </xf>
    <xf numFmtId="0" fontId="7" fillId="0" borderId="0" xfId="0" applyFont="1" applyAlignment="1"/>
    <xf numFmtId="0" fontId="13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2" fillId="0" borderId="0" xfId="1" applyNumberFormat="1" applyFont="1"/>
    <xf numFmtId="0" fontId="12" fillId="0" borderId="0" xfId="1" applyBorder="1"/>
    <xf numFmtId="0" fontId="7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7" fillId="0" borderId="0" xfId="1" applyFont="1" applyFill="1"/>
    <xf numFmtId="0" fontId="0" fillId="0" borderId="0" xfId="0"/>
    <xf numFmtId="0" fontId="7" fillId="0" borderId="0" xfId="1" applyFont="1"/>
    <xf numFmtId="0" fontId="0" fillId="0" borderId="0" xfId="0"/>
    <xf numFmtId="0" fontId="7" fillId="0" borderId="0" xfId="1" applyFont="1"/>
    <xf numFmtId="0" fontId="12" fillId="0" borderId="0" xfId="1" applyFont="1" applyFill="1"/>
    <xf numFmtId="0" fontId="12" fillId="34" borderId="0" xfId="1" applyFill="1" applyBorder="1"/>
    <xf numFmtId="0" fontId="12" fillId="34" borderId="0" xfId="0" applyFont="1" applyFill="1"/>
    <xf numFmtId="0" fontId="12" fillId="34" borderId="15" xfId="0" applyFont="1" applyFill="1" applyBorder="1"/>
    <xf numFmtId="2" fontId="12" fillId="0" borderId="26" xfId="0" applyNumberFormat="1" applyFont="1" applyBorder="1"/>
    <xf numFmtId="2" fontId="12" fillId="0" borderId="32" xfId="0" applyNumberFormat="1" applyFont="1" applyBorder="1" applyAlignment="1">
      <alignment horizontal="center"/>
    </xf>
    <xf numFmtId="2" fontId="12" fillId="0" borderId="25" xfId="0" applyNumberFormat="1" applyFont="1" applyBorder="1"/>
    <xf numFmtId="2" fontId="12" fillId="0" borderId="27" xfId="0" applyNumberFormat="1" applyFont="1" applyBorder="1"/>
    <xf numFmtId="0" fontId="0" fillId="0" borderId="0" xfId="0"/>
    <xf numFmtId="0" fontId="12" fillId="35" borderId="0" xfId="0" applyFont="1" applyFill="1" applyAlignment="1">
      <alignment vertical="center"/>
    </xf>
    <xf numFmtId="0" fontId="12" fillId="35" borderId="0" xfId="1" applyFont="1" applyFill="1"/>
    <xf numFmtId="2" fontId="12" fillId="0" borderId="25" xfId="0" applyNumberFormat="1" applyFont="1" applyFill="1" applyBorder="1"/>
    <xf numFmtId="2" fontId="12" fillId="36" borderId="25" xfId="0" applyNumberFormat="1" applyFont="1" applyFill="1" applyBorder="1"/>
    <xf numFmtId="2" fontId="12" fillId="36" borderId="27" xfId="0" applyNumberFormat="1" applyFont="1" applyFill="1" applyBorder="1"/>
    <xf numFmtId="0" fontId="12" fillId="0" borderId="0" xfId="0" applyFont="1"/>
    <xf numFmtId="0" fontId="12" fillId="0" borderId="25" xfId="1" applyBorder="1"/>
    <xf numFmtId="0" fontId="12" fillId="0" borderId="25" xfId="1" applyBorder="1" applyAlignment="1">
      <alignment horizontal="center"/>
    </xf>
    <xf numFmtId="0" fontId="12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4" fillId="0" borderId="0" xfId="46" applyFont="1"/>
    <xf numFmtId="0" fontId="0" fillId="0" borderId="0" xfId="0"/>
    <xf numFmtId="0" fontId="3" fillId="0" borderId="0" xfId="46" applyFont="1"/>
    <xf numFmtId="0" fontId="0" fillId="0" borderId="0" xfId="0"/>
    <xf numFmtId="0" fontId="41" fillId="0" borderId="33" xfId="0" applyFont="1" applyBorder="1" applyAlignment="1">
      <alignment wrapText="1"/>
    </xf>
    <xf numFmtId="0" fontId="2" fillId="0" borderId="0" xfId="46" applyFont="1"/>
    <xf numFmtId="0" fontId="42" fillId="0" borderId="25" xfId="0" applyFont="1" applyBorder="1"/>
    <xf numFmtId="0" fontId="1" fillId="0" borderId="0" xfId="46" applyFont="1"/>
    <xf numFmtId="0" fontId="0" fillId="0" borderId="0" xfId="0" applyFont="1"/>
    <xf numFmtId="0" fontId="0" fillId="0" borderId="0" xfId="0" applyNumberFormat="1" applyFont="1"/>
    <xf numFmtId="0" fontId="0" fillId="0" borderId="0" xfId="0" quotePrefix="1" applyNumberFormat="1" applyFont="1"/>
    <xf numFmtId="0" fontId="42" fillId="0" borderId="25" xfId="0" applyFont="1" applyBorder="1" applyAlignment="1">
      <alignment horizontal="center" vertical="center"/>
    </xf>
    <xf numFmtId="0" fontId="0" fillId="0" borderId="0" xfId="0"/>
    <xf numFmtId="0" fontId="7" fillId="0" borderId="0" xfId="1" applyFont="1" applyBorder="1"/>
    <xf numFmtId="0" fontId="7" fillId="0" borderId="0" xfId="0" applyFont="1" applyBorder="1"/>
    <xf numFmtId="0" fontId="7" fillId="0" borderId="0" xfId="1" applyFont="1" applyFill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0" fontId="7" fillId="0" borderId="10" xfId="0" applyFont="1" applyBorder="1" applyAlignment="1">
      <alignment horizontal="center"/>
    </xf>
    <xf numFmtId="0" fontId="7" fillId="0" borderId="0" xfId="1" applyFont="1" applyFill="1"/>
    <xf numFmtId="0" fontId="0" fillId="0" borderId="0" xfId="0"/>
    <xf numFmtId="0" fontId="7" fillId="0" borderId="0" xfId="1" applyFont="1"/>
    <xf numFmtId="0" fontId="11" fillId="0" borderId="0" xfId="1" applyFont="1"/>
    <xf numFmtId="0" fontId="14" fillId="0" borderId="0" xfId="1" applyFont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7" fillId="0" borderId="29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30" xfId="1" applyFont="1" applyBorder="1" applyAlignment="1">
      <alignment horizontal="center"/>
    </xf>
    <xf numFmtId="0" fontId="36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5383</v>
      </c>
      <c r="B12" s="65" t="s">
        <v>5384</v>
      </c>
      <c r="C12" s="65"/>
      <c r="D12" s="65"/>
      <c r="E12" s="65"/>
    </row>
    <row r="13" spans="1:5" x14ac:dyDescent="0.2">
      <c r="A13" s="69" t="s">
        <v>5385</v>
      </c>
      <c r="B13" s="65"/>
      <c r="C13" s="65"/>
      <c r="D13" s="65"/>
      <c r="E13" s="65"/>
    </row>
    <row r="14" spans="1:5" x14ac:dyDescent="0.2">
      <c r="A14" s="69" t="s">
        <v>5386</v>
      </c>
      <c r="B14" s="65"/>
      <c r="C14" s="65"/>
      <c r="D14" s="65"/>
      <c r="E14" s="65"/>
    </row>
    <row r="15" spans="1:5" x14ac:dyDescent="0.2">
      <c r="A15" s="69" t="s">
        <v>5387</v>
      </c>
      <c r="B15" s="28"/>
      <c r="C15" s="67"/>
      <c r="D15" s="28"/>
      <c r="E15" s="28"/>
    </row>
    <row r="16" spans="1:5" x14ac:dyDescent="0.2">
      <c r="A16" s="69" t="s">
        <v>5388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5389</v>
      </c>
      <c r="B18" s="65"/>
      <c r="C18" s="67"/>
      <c r="D18" s="65"/>
      <c r="E18" s="65"/>
    </row>
    <row r="19" spans="1:5" x14ac:dyDescent="0.2">
      <c r="A19" s="69" t="s">
        <v>5390</v>
      </c>
      <c r="B19" s="70"/>
      <c r="C19" s="65"/>
      <c r="D19" s="65"/>
      <c r="E19" s="65"/>
    </row>
    <row r="20" spans="1:5" x14ac:dyDescent="0.2">
      <c r="A20" s="25" t="s">
        <v>5391</v>
      </c>
      <c r="B20" s="65"/>
      <c r="C20" s="67"/>
      <c r="D20" s="65"/>
      <c r="E20" s="65"/>
    </row>
    <row r="21" spans="1:5" x14ac:dyDescent="0.2">
      <c r="A21" s="25" t="s">
        <v>5392</v>
      </c>
      <c r="B21" s="28"/>
      <c r="C21" s="28"/>
      <c r="D21" s="28"/>
      <c r="E21" s="28"/>
    </row>
    <row r="22" spans="1:5" x14ac:dyDescent="0.2">
      <c r="A22" s="140" t="s">
        <v>5393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5394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5395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5396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5397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5398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5399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5400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5401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5402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5403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5404</v>
      </c>
      <c r="B75" s="65" t="s">
        <v>5405</v>
      </c>
      <c r="C75" s="65"/>
      <c r="D75" s="65"/>
      <c r="E75" s="65"/>
    </row>
    <row r="76" spans="1:5" x14ac:dyDescent="0.2">
      <c r="A76" s="69" t="s">
        <v>5406</v>
      </c>
      <c r="B76" s="65" t="s">
        <v>5405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5407</v>
      </c>
      <c r="B79" s="65" t="s">
        <v>5408</v>
      </c>
      <c r="C79" s="65"/>
      <c r="D79" s="65"/>
      <c r="E79" s="65"/>
    </row>
    <row r="80" spans="1:5" x14ac:dyDescent="0.2">
      <c r="A80" s="69" t="s">
        <v>5409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9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3007" zoomScale="70" zoomScaleNormal="70" workbookViewId="0">
      <selection activeCell="C3029" sqref="C302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5412</v>
      </c>
      <c r="I2" s="42" t="s">
        <v>4828</v>
      </c>
      <c r="J2" s="42">
        <v>0.5</v>
      </c>
      <c r="K2" s="42"/>
      <c r="L2" s="42"/>
      <c r="M2" s="42"/>
      <c r="N2" s="13" t="s">
        <v>5381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5410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5411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5376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5377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5433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60" t="s">
        <v>4904</v>
      </c>
      <c r="C594" s="32"/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4905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4906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4907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4908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4909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4910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4911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4912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4913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4914</v>
      </c>
    </row>
    <row r="693" spans="1:6" x14ac:dyDescent="0.2">
      <c r="A693" s="36" t="s">
        <v>5429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4915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4916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4917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5382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4918</v>
      </c>
      <c r="B721" s="31" t="s">
        <v>5382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4919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4920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4921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4922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4923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4924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4925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4926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4927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4928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4929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4930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4931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4932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4933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4934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4935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4936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5378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4937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4938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4939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4940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4941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4942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4943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4944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4945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5437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4946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4947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4948</v>
      </c>
      <c r="C965" s="32"/>
      <c r="E965" s="32"/>
      <c r="F965" s="32"/>
    </row>
    <row r="966" spans="1:7" ht="15" x14ac:dyDescent="0.25">
      <c r="A966" s="60" t="s">
        <v>4949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4950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4951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4952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4953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4954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4955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4956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4957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4958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4959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4960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4961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4962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4963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60" t="s">
        <v>4964</v>
      </c>
      <c r="C1120" s="32"/>
      <c r="E1120" s="32"/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4965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7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7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7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7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ht="15" x14ac:dyDescent="0.25">
      <c r="A1141" s="60" t="s">
        <v>4966</v>
      </c>
      <c r="C1141" s="32"/>
      <c r="E1141" s="32"/>
      <c r="F1141" s="32"/>
    </row>
    <row r="1142" spans="1:7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7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7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7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7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7" ht="15" x14ac:dyDescent="0.25">
      <c r="A1147" s="60" t="s">
        <v>4967</v>
      </c>
      <c r="C1147" s="32"/>
      <c r="E1147" s="32"/>
      <c r="F1147" s="32"/>
    </row>
    <row r="1148" spans="1:7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7" s="36" customFormat="1" x14ac:dyDescent="0.2">
      <c r="A1149" s="36" t="s">
        <v>5430</v>
      </c>
    </row>
    <row r="1150" spans="1:7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7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7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4968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4969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4970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4971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4972</v>
      </c>
      <c r="C1185" s="32"/>
      <c r="E1185" s="32"/>
      <c r="F1185" s="32"/>
    </row>
    <row r="1186" spans="1:6" s="111" customFormat="1" ht="15.75" thickBot="1" x14ac:dyDescent="0.3">
      <c r="A1186" s="114" t="s">
        <v>5438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4973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4974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4975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4976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4977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4978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4979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4980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4981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4982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4983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4984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4985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4986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60" t="s">
        <v>4987</v>
      </c>
      <c r="C1288" s="32"/>
      <c r="E1288" s="32"/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4988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4989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4990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4991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4992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4993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4994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4995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4996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4997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4998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4999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5000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5001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5002</v>
      </c>
      <c r="C1370" s="32"/>
      <c r="E1370" s="32"/>
      <c r="F1370" s="32"/>
    </row>
    <row r="1371" spans="1:10" ht="15" x14ac:dyDescent="0.25">
      <c r="A1371" s="60" t="s">
        <v>5003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5004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5005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5006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5007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5008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5009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5010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5011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5012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5013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5014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5015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5016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5017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5018</v>
      </c>
      <c r="C1442" s="32"/>
      <c r="E1442" s="32"/>
      <c r="F1442" s="32"/>
    </row>
    <row r="1443" spans="1:7" ht="15" x14ac:dyDescent="0.25">
      <c r="A1443" s="60" t="s">
        <v>5019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5020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5021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5022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5023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5024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5025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5026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5027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5028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5029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5030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5031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5032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5033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5034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5035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5036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5037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5038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5039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5040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5041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5042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5043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5044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5045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5046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5047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5048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5049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5050</v>
      </c>
      <c r="C1572" s="32"/>
      <c r="E1572" s="32"/>
      <c r="F1572" s="32"/>
    </row>
    <row r="1573" spans="1:7" ht="15" x14ac:dyDescent="0.25">
      <c r="A1573" s="60" t="s">
        <v>5051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5052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5053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5054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5055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5056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5057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5058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5059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5060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5061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5062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5063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5064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5065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5066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5067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5068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5069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5070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5071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5072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5073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5074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5075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5076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5077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5078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5079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5080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5081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5082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5083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5084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5085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5086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5087</v>
      </c>
      <c r="C1726" s="32"/>
      <c r="E1726" s="32"/>
      <c r="F1726" s="32"/>
    </row>
    <row r="1727" spans="1:7" ht="15" x14ac:dyDescent="0.25">
      <c r="A1727" s="60" t="s">
        <v>5088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5089</v>
      </c>
      <c r="C1731" s="32"/>
      <c r="E1731" s="32"/>
      <c r="F1731" s="32"/>
    </row>
    <row r="1732" spans="1:7" ht="15" x14ac:dyDescent="0.25">
      <c r="A1732" s="60" t="s">
        <v>5090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5091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5092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5093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5440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5094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5095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5096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5097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5098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5099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5100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5101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5102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5103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5104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5105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5106</v>
      </c>
      <c r="C1789" s="32"/>
      <c r="E1789" s="32"/>
      <c r="F1789" s="32"/>
    </row>
    <row r="1790" spans="1:7" ht="15" x14ac:dyDescent="0.25">
      <c r="A1790" s="60" t="s">
        <v>5107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5108</v>
      </c>
      <c r="C1797" s="32"/>
      <c r="E1797" s="32"/>
      <c r="F1797" s="32"/>
    </row>
    <row r="1798" spans="1:7" ht="15" x14ac:dyDescent="0.25">
      <c r="A1798" s="60" t="s">
        <v>5109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5110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5111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5112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5113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5114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5115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5116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5117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5118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5119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5120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5121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5122</v>
      </c>
      <c r="C1854" s="32"/>
      <c r="E1854" s="32"/>
      <c r="F1854" s="32"/>
    </row>
    <row r="1855" spans="1:7" ht="15" x14ac:dyDescent="0.25">
      <c r="A1855" s="60" t="s">
        <v>5123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5124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5125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5126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5127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5128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5129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5130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5131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5132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5133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5134</v>
      </c>
      <c r="C1892" s="32"/>
      <c r="E1892" s="32"/>
      <c r="F1892" s="32"/>
    </row>
    <row r="1893" spans="1:7" x14ac:dyDescent="0.2">
      <c r="A1893" s="36" t="s">
        <v>5434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5135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5136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5137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5138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5139</v>
      </c>
      <c r="C1917" s="32"/>
      <c r="E1917" s="32"/>
      <c r="F1917" s="32"/>
    </row>
    <row r="1918" spans="1:7" ht="15" x14ac:dyDescent="0.25">
      <c r="A1918" s="60" t="s">
        <v>5140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5141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5142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5143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5144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5145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5146</v>
      </c>
      <c r="C1940" s="32"/>
      <c r="E1940" s="32"/>
      <c r="F1940" s="32"/>
    </row>
    <row r="1941" spans="1:7" ht="15" x14ac:dyDescent="0.25">
      <c r="A1941" s="60" t="s">
        <v>5147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5148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5149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5150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5151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5152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5153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5154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5155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5156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5157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5158</v>
      </c>
      <c r="C1992" s="32"/>
      <c r="E1992" s="32"/>
      <c r="F1992" s="32"/>
    </row>
    <row r="1993" spans="1:7" x14ac:dyDescent="0.2">
      <c r="A1993" s="36" t="s">
        <v>5425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5159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5160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5161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5162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5163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5164</v>
      </c>
      <c r="C2011" s="32"/>
      <c r="E2011" s="32"/>
      <c r="F2011" s="32"/>
    </row>
    <row r="2012" spans="1:7" ht="15" x14ac:dyDescent="0.25">
      <c r="A2012" s="60" t="s">
        <v>5165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5166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5167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5168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5169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5170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5171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5172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5173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5174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5175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5176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5177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5178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5179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5180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5181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5182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5183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5184</v>
      </c>
      <c r="E2090" s="32"/>
      <c r="F2090" s="32"/>
    </row>
    <row r="2091" spans="1:7" ht="15" x14ac:dyDescent="0.25">
      <c r="A2091" s="60" t="s">
        <v>5185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5186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5436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5187</v>
      </c>
      <c r="C2101" s="32"/>
      <c r="E2101" s="32"/>
      <c r="F2101" s="32"/>
    </row>
    <row r="2102" spans="1:7" ht="15" x14ac:dyDescent="0.25">
      <c r="A2102" s="60" t="s">
        <v>5188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5189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5190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5191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5192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5193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5194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5195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5196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5197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5198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5199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5200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5201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5202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5203</v>
      </c>
      <c r="C2208" s="32"/>
      <c r="D2208" s="32"/>
      <c r="E2208" s="32"/>
      <c r="F2208" s="32"/>
    </row>
    <row r="2209" spans="1:7" ht="15" x14ac:dyDescent="0.25">
      <c r="A2209" s="60" t="s">
        <v>5204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5205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5206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5207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5208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5209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5210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5211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5212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5213</v>
      </c>
      <c r="C2282" s="32"/>
      <c r="E2282" s="32"/>
      <c r="F2282" s="32"/>
    </row>
    <row r="2283" spans="1:7" ht="15" x14ac:dyDescent="0.25">
      <c r="A2283" s="60" t="s">
        <v>5214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5215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5216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5217</v>
      </c>
      <c r="C2301" s="32"/>
      <c r="E2301" s="32"/>
      <c r="F2301" s="32"/>
    </row>
    <row r="2302" spans="1:7" ht="15" x14ac:dyDescent="0.25">
      <c r="A2302" s="60" t="s">
        <v>5218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5219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5220</v>
      </c>
      <c r="C2309" s="32"/>
      <c r="E2309" s="32"/>
      <c r="F2309" s="32"/>
    </row>
    <row r="2310" spans="1:7" ht="15" x14ac:dyDescent="0.25">
      <c r="A2310" s="60" t="s">
        <v>5221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5222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5223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5224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5225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5226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5227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5228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5229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5230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5231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5442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5232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5233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5234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5235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5432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5236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5237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5238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5239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5240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5241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5242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5243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5244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5245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5246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5435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5247</v>
      </c>
    </row>
    <row r="2524" spans="1:6" s="109" customFormat="1" ht="15" x14ac:dyDescent="0.25">
      <c r="A2524" s="110" t="s">
        <v>5431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5248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5249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5250</v>
      </c>
    </row>
    <row r="2535" spans="1:7" ht="15" x14ac:dyDescent="0.25">
      <c r="A2535" s="60" t="s">
        <v>5251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5252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5253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5254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5255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5256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5257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5258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5259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5260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5261</v>
      </c>
    </row>
    <row r="2582" spans="1:7" ht="15" x14ac:dyDescent="0.25">
      <c r="A2582" s="60" t="s">
        <v>5262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5263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5264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5265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5266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5267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5268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5269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5270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5271</v>
      </c>
    </row>
    <row r="2621" spans="1:7" ht="15" x14ac:dyDescent="0.25">
      <c r="A2621" s="60" t="s">
        <v>5272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5273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5274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5275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5276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5277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5278</v>
      </c>
    </row>
    <row r="2658" spans="1:6" ht="15" x14ac:dyDescent="0.25">
      <c r="A2658" s="60" t="s">
        <v>5279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5280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5439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5281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5428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5282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5283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5284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5285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5286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5287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5288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5289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5290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5291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5292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5293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5294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5295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5296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5297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5298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5299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5300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5301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5302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5303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5304</v>
      </c>
    </row>
    <row r="2798" spans="1:7" ht="15" x14ac:dyDescent="0.25">
      <c r="A2798" s="60" t="s">
        <v>5305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5306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5307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5308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5309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5310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5311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5312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5313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5314</v>
      </c>
    </row>
    <row r="2858" spans="1:7" ht="15" x14ac:dyDescent="0.25">
      <c r="A2858" s="60" t="s">
        <v>5315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5316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5317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5318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5319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5320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5321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5322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5323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5324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5325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5326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5327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5328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5329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5330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5331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5332</v>
      </c>
    </row>
    <row r="2912" spans="1:6" ht="15" x14ac:dyDescent="0.25">
      <c r="A2912" s="60" t="s">
        <v>5333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5334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5335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5336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5337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5338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5339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5340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5341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5342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5343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5344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5345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5346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5347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5348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5349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5350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5351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5352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5353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5354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5355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5356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5357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5358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5359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20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5360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5361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5362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5363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5364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5365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5366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5367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5368</v>
      </c>
    </row>
    <row r="3097" spans="1:7" ht="15" x14ac:dyDescent="0.25">
      <c r="A3097" s="60" t="s">
        <v>5369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5370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5371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5372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5373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5374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5375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3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5450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5423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5426</v>
      </c>
      <c r="D9" s="49" t="s">
        <v>5417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5426</v>
      </c>
      <c r="M9" s="49" t="s">
        <v>133</v>
      </c>
      <c r="N9" s="43" t="s">
        <v>4833</v>
      </c>
      <c r="O9" s="43" t="s">
        <v>4834</v>
      </c>
    </row>
    <row r="10" spans="1:15" s="122" customFormat="1" ht="14.25" thickTop="1" thickBot="1" x14ac:dyDescent="0.25">
      <c r="A10" s="30" t="s">
        <v>5441</v>
      </c>
      <c r="B10" s="123"/>
      <c r="C10" s="123"/>
      <c r="D10" s="123"/>
      <c r="E10" s="123"/>
      <c r="F10" s="123"/>
      <c r="G10" s="123"/>
      <c r="H10" s="123"/>
      <c r="I10" s="124"/>
      <c r="J10" s="123"/>
      <c r="K10" s="123"/>
      <c r="L10" s="123"/>
      <c r="M10" s="123"/>
      <c r="N10" s="125"/>
      <c r="O10" s="125"/>
    </row>
    <row r="11" spans="1:15" s="122" customFormat="1" ht="13.5" thickTop="1" x14ac:dyDescent="0.2">
      <c r="A11" s="123"/>
      <c r="B11" s="123"/>
      <c r="C11" s="123"/>
      <c r="D11" s="123"/>
      <c r="E11" s="123"/>
      <c r="F11" s="123"/>
      <c r="G11" s="123"/>
      <c r="H11" s="123"/>
      <c r="I11" s="124"/>
      <c r="J11" s="123"/>
      <c r="K11" s="123"/>
      <c r="L11" s="123"/>
      <c r="M11" s="123"/>
      <c r="N11" s="125"/>
      <c r="O11" s="125"/>
    </row>
    <row r="12" spans="1:15" x14ac:dyDescent="0.2">
      <c r="A12" s="116" t="s">
        <v>2142</v>
      </c>
      <c r="B12" s="44" t="str">
        <f>IF(LEN(VLOOKUP(A12,'Species List'!$A:$G,2,FALSE))=0,"",VLOOKUP(A12,'Species List'!$A:$G,2,FALSE))</f>
        <v>black ash</v>
      </c>
      <c r="C12" s="44">
        <f>IF(LEN(VLOOKUP(A12,'Species List'!$A:$G,3,FALSE))=0,"",VLOOKUP(A12,'Species List'!$A:$G,3,FALSE))</f>
        <v>6</v>
      </c>
      <c r="D12" s="98">
        <f t="shared" ref="D12:D13" si="0">VALUE(C12)</f>
        <v>6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9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ref="M12:M13" si="1">VALUE(L12)</f>
        <v>15</v>
      </c>
      <c r="N12" s="108">
        <f t="shared" ref="N12:N77" si="2">L12/$L$153</f>
        <v>7.9155672823219003E-2</v>
      </c>
      <c r="O12" s="108">
        <f t="shared" ref="O12:O13" si="3">D12*N12</f>
        <v>0.47493403693931402</v>
      </c>
    </row>
    <row r="13" spans="1:15" x14ac:dyDescent="0.2">
      <c r="A13" s="116" t="s">
        <v>2144</v>
      </c>
      <c r="B13" s="44" t="str">
        <f>IF(LEN(VLOOKUP(A13,'Species List'!$A:$G,2,FALSE))=0,"",VLOOKUP(A13,'Species List'!$A:$G,2,FALSE))</f>
        <v>green ash</v>
      </c>
      <c r="C13" s="44">
        <f>IF(LEN(VLOOKUP(A13,'Species List'!$A:$G,3,FALSE))=0,"",VLOOKUP(A13,'Species List'!$A:$G,3,FALSE))</f>
        <v>2</v>
      </c>
      <c r="D13" s="98">
        <f t="shared" si="0"/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91" t="s">
        <v>5410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108">
        <f t="shared" si="2"/>
        <v>1.5831134564643801E-2</v>
      </c>
      <c r="O13" s="108">
        <f t="shared" si="3"/>
        <v>3.1662269129287601E-2</v>
      </c>
    </row>
    <row r="14" spans="1:15" x14ac:dyDescent="0.2">
      <c r="A14" s="116" t="s">
        <v>1250</v>
      </c>
      <c r="B14" s="44" t="str">
        <f>IF(LEN(VLOOKUP(A14,'Species List'!$A:$G,2,FALSE))=0,"",VLOOKUP(A14,'Species List'!$A:$G,2,FALSE))</f>
        <v>hackberry</v>
      </c>
      <c r="C14" s="44">
        <f>IF(LEN(VLOOKUP(A14,'Species List'!$A:$G,3,FALSE))=0,"",VLOOKUP(A14,'Species List'!$A:$G,3,FALSE))</f>
        <v>3</v>
      </c>
      <c r="D14" s="98">
        <f>VALUE(C14)</f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[FAC-]</v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99">
        <f>VALUE(L14)</f>
        <v>15</v>
      </c>
      <c r="N14" s="85">
        <f t="shared" si="2"/>
        <v>7.9155672823219003E-2</v>
      </c>
      <c r="O14" s="85">
        <f>D14*N14</f>
        <v>0.23746701846965701</v>
      </c>
    </row>
    <row r="15" spans="1:15" x14ac:dyDescent="0.2">
      <c r="A15" s="116" t="s">
        <v>2559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8">
        <f t="shared" ref="D15:D78" si="4">VALUE(C15)</f>
        <v>3</v>
      </c>
      <c r="E15" s="44" t="str">
        <f>IF(LEN(VLOOKUP(A15,'Species List'!$A:$G,4,FALSE))=0,"",VLOOKUP(A15,'Species List'!$A:$G,4,FALSE))</f>
        <v>E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91" t="s">
        <v>5412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ref="M15:M78" si="5">VALUE(L15)</f>
        <v>0.5</v>
      </c>
      <c r="N15" s="85">
        <f t="shared" si="2"/>
        <v>2.6385224274406332E-3</v>
      </c>
      <c r="O15" s="97">
        <f t="shared" ref="O15:O78" si="6">D15*N15</f>
        <v>7.9155672823219003E-3</v>
      </c>
    </row>
    <row r="16" spans="1:15" x14ac:dyDescent="0.2">
      <c r="A16" s="116" t="s">
        <v>3755</v>
      </c>
      <c r="B16" s="44" t="str">
        <f>IF(LEN(VLOOKUP(A16,'Species List'!$A:$G,2,FALSE))=0,"",VLOOKUP(A16,'Species List'!$A:$G,2,FALSE))</f>
        <v>common buckthorn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91">
        <v>5</v>
      </c>
      <c r="K16" s="47" t="str">
        <f>VLOOKUP(J16,'Species List'!$H$1:$J$9,2,FALSE)</f>
        <v>&gt;75-100%</v>
      </c>
      <c r="L16" s="47">
        <f>VLOOKUP(K16,'Species List'!$I$1:$N$8,2,FALSE)</f>
        <v>87.5</v>
      </c>
      <c r="M16" s="99">
        <f t="shared" si="5"/>
        <v>87.5</v>
      </c>
      <c r="N16" s="85">
        <f t="shared" si="2"/>
        <v>0.46174142480211083</v>
      </c>
      <c r="O16" s="97">
        <f t="shared" si="6"/>
        <v>0</v>
      </c>
    </row>
    <row r="17" spans="1:15" x14ac:dyDescent="0.2">
      <c r="A17" s="116" t="s">
        <v>5443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91">
        <v>3</v>
      </c>
      <c r="K17" s="47" t="str">
        <f>VLOOKUP(J17,'Species List'!$H$1:$J$9,2,FALSE)</f>
        <v>&gt;25-50%</v>
      </c>
      <c r="L17" s="47">
        <f>VLOOKUP(K17,'Species List'!$I$1:$N$8,2,FALSE)</f>
        <v>37.5</v>
      </c>
      <c r="M17" s="99">
        <f t="shared" si="5"/>
        <v>37.5</v>
      </c>
      <c r="N17" s="85">
        <f t="shared" si="2"/>
        <v>0.19788918205804748</v>
      </c>
      <c r="O17" s="97">
        <f t="shared" si="6"/>
        <v>0</v>
      </c>
    </row>
    <row r="18" spans="1:15" x14ac:dyDescent="0.2">
      <c r="A18" s="116" t="s">
        <v>3656</v>
      </c>
      <c r="B18" s="44" t="str">
        <f>IF(LEN(VLOOKUP(A18,'Species List'!$A:$G,2,FALSE))=0,"",VLOOKUP(A18,'Species List'!$A:$G,2,FALSE))</f>
        <v>chokecherry</v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[FAC-]</v>
      </c>
      <c r="H18" s="44">
        <f>VLOOKUP(A18,'Species List'!$A:$G,7,FALSE)</f>
        <v>0</v>
      </c>
      <c r="J18" s="91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1.5831134564643801E-2</v>
      </c>
      <c r="O18" s="97">
        <f t="shared" si="6"/>
        <v>4.7493403693931402E-2</v>
      </c>
    </row>
    <row r="19" spans="1:15" x14ac:dyDescent="0.2">
      <c r="A19" s="116" t="s">
        <v>5442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91" t="s">
        <v>5410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85">
        <f t="shared" si="2"/>
        <v>1.5831134564643801E-2</v>
      </c>
      <c r="O19" s="97">
        <f t="shared" si="6"/>
        <v>4.7493403693931402E-2</v>
      </c>
    </row>
    <row r="20" spans="1:15" x14ac:dyDescent="0.2">
      <c r="A20" s="116" t="s">
        <v>4814</v>
      </c>
      <c r="B20" s="44" t="str">
        <f>IF(LEN(VLOOKUP(A20,'Species List'!$A:$G,2,FALSE))=0,"",VLOOKUP(A20,'Species List'!$A:$G,2,FALSE))</f>
        <v>prickly ash</v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91" t="s">
        <v>5410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85">
        <f t="shared" si="2"/>
        <v>1.5831134564643801E-2</v>
      </c>
      <c r="O20" s="97">
        <f t="shared" si="6"/>
        <v>4.7493403693931402E-2</v>
      </c>
    </row>
    <row r="21" spans="1:15" x14ac:dyDescent="0.2">
      <c r="A21" s="116" t="s">
        <v>4595</v>
      </c>
      <c r="B21" s="44" t="str">
        <f>IF(LEN(VLOOKUP(A21,'Species List'!$A:$G,2,FALSE))=0,"",VLOOKUP(A21,'Species List'!$A:$G,2,FALSE))</f>
        <v>American elm</v>
      </c>
      <c r="C21" s="44">
        <f>IF(LEN(VLOOKUP(A21,'Species List'!$A:$G,3,FALSE))=0,"",VLOOKUP(A21,'Species List'!$A:$G,3,FALSE))</f>
        <v>3</v>
      </c>
      <c r="D21" s="98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91" t="s">
        <v>5412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85">
        <f t="shared" si="2"/>
        <v>2.6385224274406332E-3</v>
      </c>
      <c r="O21" s="97">
        <f t="shared" si="6"/>
        <v>7.9155672823219003E-3</v>
      </c>
    </row>
    <row r="22" spans="1:15" x14ac:dyDescent="0.2">
      <c r="A22" s="116" t="s">
        <v>162</v>
      </c>
      <c r="B22" s="44" t="str">
        <f>IF(LEN(VLOOKUP(A22,'Species List'!$A:$G,2,FALSE))=0,"",VLOOKUP(A22,'Species List'!$A:$G,2,FALSE))</f>
        <v>box elder</v>
      </c>
      <c r="C22" s="44">
        <f>IF(LEN(VLOOKUP(A22,'Species List'!$A:$G,3,FALSE))=0,"",VLOOKUP(A22,'Species List'!$A:$G,3,FALSE))</f>
        <v>1</v>
      </c>
      <c r="D22" s="98">
        <f t="shared" si="4"/>
        <v>1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FACW-</v>
      </c>
      <c r="H22" s="44">
        <f>VLOOKUP(A22,'Species List'!$A:$G,7,FALSE)</f>
        <v>0</v>
      </c>
      <c r="J22" s="91" t="s">
        <v>5412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5"/>
        <v>0.5</v>
      </c>
      <c r="N22" s="85">
        <f t="shared" si="2"/>
        <v>2.6385224274406332E-3</v>
      </c>
      <c r="O22" s="97">
        <f t="shared" si="6"/>
        <v>2.6385224274406332E-3</v>
      </c>
    </row>
    <row r="23" spans="1:15" x14ac:dyDescent="0.2">
      <c r="A23" s="116" t="s">
        <v>4701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91" t="s">
        <v>5410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1.5831134564643801E-2</v>
      </c>
      <c r="O23" s="97">
        <f t="shared" si="6"/>
        <v>0</v>
      </c>
    </row>
    <row r="24" spans="1:15" x14ac:dyDescent="0.2">
      <c r="A24" s="116" t="s">
        <v>4765</v>
      </c>
      <c r="B24" s="44" t="str">
        <f>IF(LEN(VLOOKUP(A24,'Species List'!$A:$G,2,FALSE))=0,"",VLOOKUP(A24,'Species List'!$A:$G,2,FALSE))</f>
        <v>wild grape</v>
      </c>
      <c r="C24" s="44">
        <f>IF(LEN(VLOOKUP(A24,'Species List'!$A:$G,3,FALSE))=0,"",VLOOKUP(A24,'Species List'!$A:$G,3,FALSE))</f>
        <v>2</v>
      </c>
      <c r="D24" s="98">
        <f t="shared" si="4"/>
        <v>2</v>
      </c>
      <c r="E24" s="44" t="str">
        <f>IF(LEN(VLOOKUP(A24,'Species List'!$A:$G,4,FALSE))=0,"",VLOOKUP(A24,'Species List'!$A:$G,4,FALSE))</f>
        <v>C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FACW-</v>
      </c>
      <c r="H24" s="44">
        <f>VLOOKUP(A24,'Species List'!$A:$G,7,FALSE)</f>
        <v>0</v>
      </c>
      <c r="J24" s="91" t="s">
        <v>5410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85">
        <f t="shared" si="2"/>
        <v>1.5831134564643801E-2</v>
      </c>
      <c r="O24" s="97">
        <f t="shared" si="6"/>
        <v>3.1662269129287601E-2</v>
      </c>
    </row>
    <row r="25" spans="1:15" x14ac:dyDescent="0.2">
      <c r="A25" s="116" t="s">
        <v>3211</v>
      </c>
      <c r="B25" s="44" t="str">
        <f>IF(LEN(VLOOKUP(A25,'Species List'!$A:$G,2,FALSE))=0,"",VLOOKUP(A25,'Species List'!$A:$G,2,FALSE))</f>
        <v>Virginia creeper</v>
      </c>
      <c r="C25" s="44">
        <f>IF(LEN(VLOOKUP(A25,'Species List'!$A:$G,3,FALSE))=0,"",VLOOKUP(A25,'Species List'!$A:$G,3,FALSE))</f>
        <v>3</v>
      </c>
      <c r="D25" s="98">
        <f t="shared" si="4"/>
        <v>3</v>
      </c>
      <c r="E25" s="44" t="str">
        <f>IF(LEN(VLOOKUP(A25,'Species List'!$A:$G,4,FALSE))=0,"",VLOOKUP(A25,'Species List'!$A:$G,4,FALSE))</f>
        <v>C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FAC-</v>
      </c>
      <c r="H25" s="44">
        <f>VLOOKUP(A25,'Species List'!$A:$G,7,FALSE)</f>
        <v>0</v>
      </c>
      <c r="J25" s="91">
        <v>2</v>
      </c>
      <c r="K25" s="47" t="str">
        <f>VLOOKUP(J25,'Species List'!$H$1:$J$9,2,FALSE)</f>
        <v>&gt;5-25%</v>
      </c>
      <c r="L25" s="47">
        <f>VLOOKUP(K25,'Species List'!$I$1:$N$8,2,FALSE)</f>
        <v>15</v>
      </c>
      <c r="M25" s="99">
        <f t="shared" si="5"/>
        <v>15</v>
      </c>
      <c r="N25" s="85">
        <f t="shared" si="2"/>
        <v>7.9155672823219003E-2</v>
      </c>
      <c r="O25" s="97">
        <f t="shared" si="6"/>
        <v>0.23746701846965701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si="2"/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5"/>
        <v>#N/A</v>
      </c>
      <c r="N77" s="85" t="e">
        <f t="shared" si="2"/>
        <v>#N/A</v>
      </c>
      <c r="O77" s="97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5"/>
        <v>#N/A</v>
      </c>
      <c r="N78" s="85" t="e">
        <f t="shared" ref="N78:N141" si="7">L78/$L$153</f>
        <v>#N/A</v>
      </c>
      <c r="O78" s="97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ref="M79:M142" si="9">VALUE(L79)</f>
        <v>#N/A</v>
      </c>
      <c r="N79" s="85" t="e">
        <f t="shared" si="7"/>
        <v>#N/A</v>
      </c>
      <c r="O79" s="97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si="7"/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9"/>
        <v>#N/A</v>
      </c>
      <c r="N141" s="85" t="e">
        <f t="shared" si="7"/>
        <v>#N/A</v>
      </c>
      <c r="O141" s="97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9"/>
        <v>#N/A</v>
      </c>
      <c r="N142" s="85" t="e">
        <f t="shared" ref="N142:N152" si="11">L142/$L$153</f>
        <v>#N/A</v>
      </c>
      <c r="O142" s="97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ref="M143:M152" si="13">VALUE(L143)</f>
        <v>#N/A</v>
      </c>
      <c r="N143" s="85" t="e">
        <f t="shared" si="11"/>
        <v>#N/A</v>
      </c>
      <c r="O143" s="97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8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99" t="e">
        <f t="shared" si="13"/>
        <v>#N/A</v>
      </c>
      <c r="N150" s="85" t="e">
        <f t="shared" si="11"/>
        <v>#N/A</v>
      </c>
      <c r="O150" s="97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8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99" t="e">
        <f t="shared" si="13"/>
        <v>#N/A</v>
      </c>
      <c r="N151" s="85" t="e">
        <f t="shared" si="11"/>
        <v>#N/A</v>
      </c>
      <c r="O151" s="97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8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99" t="e">
        <f t="shared" si="13"/>
        <v>#N/A</v>
      </c>
      <c r="N152" s="45" t="e">
        <f t="shared" si="11"/>
        <v>#N/A</v>
      </c>
      <c r="O152" s="97" t="e">
        <f t="shared" si="14"/>
        <v>#N/A</v>
      </c>
    </row>
    <row r="153" spans="1:15" ht="14.25" thickTop="1" thickBot="1" x14ac:dyDescent="0.25">
      <c r="I153" s="148" t="s">
        <v>5379</v>
      </c>
      <c r="J153" s="149"/>
      <c r="K153" s="150"/>
      <c r="L153" s="63">
        <f>SUMIF(L12:L152,"&gt;=0")</f>
        <v>189.5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5424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5426</v>
      </c>
      <c r="D9" s="49" t="s">
        <v>5417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5427</v>
      </c>
      <c r="M9" s="49" t="s">
        <v>133</v>
      </c>
      <c r="N9" s="43" t="s">
        <v>4833</v>
      </c>
      <c r="O9" s="43" t="s">
        <v>4834</v>
      </c>
    </row>
    <row r="10" spans="1:15" s="122" customFormat="1" ht="14.25" thickTop="1" thickBot="1" x14ac:dyDescent="0.25">
      <c r="A10" s="30" t="s">
        <v>5447</v>
      </c>
      <c r="B10" s="123"/>
      <c r="C10" s="123"/>
      <c r="D10" s="123"/>
      <c r="E10" s="123"/>
      <c r="F10" s="123"/>
      <c r="G10" s="123"/>
      <c r="H10" s="123"/>
      <c r="I10" s="124"/>
      <c r="J10" s="123"/>
      <c r="K10" s="123"/>
      <c r="L10" s="123"/>
      <c r="M10" s="123"/>
      <c r="N10" s="125"/>
      <c r="O10" s="125"/>
    </row>
    <row r="11" spans="1:15" s="122" customFormat="1" ht="13.5" thickTop="1" x14ac:dyDescent="0.2">
      <c r="A11" s="123"/>
      <c r="B11" s="123"/>
      <c r="C11" s="123"/>
      <c r="D11" s="123"/>
      <c r="E11" s="123"/>
      <c r="F11" s="123"/>
      <c r="G11" s="123"/>
      <c r="H11" s="123"/>
      <c r="I11" s="124"/>
      <c r="J11" s="123"/>
      <c r="K11" s="123"/>
      <c r="L11" s="123"/>
      <c r="M11" s="123"/>
      <c r="N11" s="125"/>
      <c r="O11" s="125"/>
    </row>
    <row r="12" spans="1:15" x14ac:dyDescent="0.2">
      <c r="A12" s="116" t="s">
        <v>4474</v>
      </c>
      <c r="B12" s="44" t="str">
        <f>IF(LEN(VLOOKUP(A12,'Species List'!$A:$G,2,FALSE))=0,"",VLOOKUP(A12,'Species List'!$A:$G,2,FALSE))</f>
        <v>germander</v>
      </c>
      <c r="C12" s="44">
        <f>IF(LEN(VLOOKUP(A12,'Species List'!$A:$G,3,FALSE))=0,"",VLOOKUP(A12,'Species List'!$A:$G,3,FALSE))</f>
        <v>4</v>
      </c>
      <c r="D12" s="98">
        <f t="shared" ref="D12:D13" si="0"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121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ref="M12:M14" si="1">VALUE(L12)</f>
        <v>3</v>
      </c>
      <c r="N12" s="108">
        <f t="shared" ref="N12:N13" si="2">L12/$L$153</f>
        <v>0.05</v>
      </c>
      <c r="O12" s="108">
        <f t="shared" ref="O12:O13" si="3">D12*N12</f>
        <v>0.2</v>
      </c>
    </row>
    <row r="13" spans="1:15" x14ac:dyDescent="0.2">
      <c r="A13" s="116" t="s">
        <v>2845</v>
      </c>
      <c r="B13" s="44" t="str">
        <f>IF(LEN(VLOOKUP(A13,'Species List'!$A:$G,2,FALSE))=0,"",VLOOKUP(A13,'Species List'!$A:$G,2,FALSE))</f>
        <v>Canada mayflower</v>
      </c>
      <c r="C13" s="44">
        <f>IF(LEN(VLOOKUP(A13,'Species List'!$A:$G,3,FALSE))=0,"",VLOOKUP(A13,'Species List'!$A:$G,3,FALSE))</f>
        <v>5</v>
      </c>
      <c r="D13" s="98">
        <f t="shared" si="0"/>
        <v>5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21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108">
        <f t="shared" si="2"/>
        <v>0.05</v>
      </c>
      <c r="O13" s="108">
        <f t="shared" si="3"/>
        <v>0.25</v>
      </c>
    </row>
    <row r="14" spans="1:15" x14ac:dyDescent="0.2">
      <c r="A14" s="116" t="s">
        <v>199</v>
      </c>
      <c r="B14" s="44" t="str">
        <f>IF(LEN(VLOOKUP(A14,'Species List'!$A:$G,2,FALSE))=0,"",VLOOKUP(A14,'Species List'!$A:$G,2,FALSE))</f>
        <v>red baneberry</v>
      </c>
      <c r="C14" s="44">
        <f>IF(LEN(VLOOKUP(A14,'Species List'!$A:$G,3,FALSE))=0,"",VLOOKUP(A14,'Species List'!$A:$G,3,FALSE))</f>
        <v>7</v>
      </c>
      <c r="D14" s="98">
        <f>VALUE(C14)</f>
        <v>7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1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85">
        <f>L14/$L$153</f>
        <v>0.05</v>
      </c>
      <c r="O14" s="85">
        <f>D14*N14</f>
        <v>0.35000000000000003</v>
      </c>
    </row>
    <row r="15" spans="1:15" x14ac:dyDescent="0.2">
      <c r="A15" s="116" t="s">
        <v>2846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5</v>
      </c>
      <c r="D15" s="98">
        <f t="shared" ref="D15:D78" si="4">VALUE(C15)</f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1" t="s">
        <v>5412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ref="M15:M78" si="5">VALUE(L15)</f>
        <v>0.5</v>
      </c>
      <c r="N15" s="97">
        <f t="shared" ref="N15:N78" si="6">L15/$L$153</f>
        <v>8.3333333333333332E-3</v>
      </c>
      <c r="O15" s="97">
        <f t="shared" ref="O15:O78" si="7">D15*N15</f>
        <v>4.1666666666666664E-2</v>
      </c>
    </row>
    <row r="16" spans="1:15" x14ac:dyDescent="0.2">
      <c r="A16" s="116" t="s">
        <v>2251</v>
      </c>
      <c r="B16" s="44" t="str">
        <f>IF(LEN(VLOOKUP(A16,'Species List'!$A:$G,2,FALSE))=0,"",VLOOKUP(A16,'Species List'!$A:$G,2,FALSE))</f>
        <v>creeping charlie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1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6"/>
        <v>0.05</v>
      </c>
      <c r="O16" s="97">
        <f t="shared" si="7"/>
        <v>0</v>
      </c>
    </row>
    <row r="17" spans="1:15" x14ac:dyDescent="0.2">
      <c r="A17" s="116" t="s">
        <v>2186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4</v>
      </c>
      <c r="D17" s="98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FACU+</v>
      </c>
      <c r="H17" s="44">
        <f>VLOOKUP(A17,'Species List'!$A:$G,7,FALSE)</f>
        <v>0</v>
      </c>
      <c r="J17" s="121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6"/>
        <v>0.05</v>
      </c>
      <c r="O17" s="97">
        <f t="shared" si="7"/>
        <v>0.2</v>
      </c>
    </row>
    <row r="18" spans="1:15" x14ac:dyDescent="0.2">
      <c r="A18" s="116" t="s">
        <v>1365</v>
      </c>
      <c r="B18" s="44" t="str">
        <f>IF(LEN(VLOOKUP(A18,'Species List'!$A:$G,2,FALSE))=0,"",VLOOKUP(A18,'Species List'!$A:$G,2,FALSE))</f>
        <v>common enchanter's nightshade</v>
      </c>
      <c r="C18" s="44">
        <f>IF(LEN(VLOOKUP(A18,'Species List'!$A:$G,3,FALSE))=0,"",VLOOKUP(A18,'Species List'!$A:$G,3,FALSE))</f>
        <v>2</v>
      </c>
      <c r="D18" s="98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121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6"/>
        <v>0.05</v>
      </c>
      <c r="O18" s="97">
        <f t="shared" si="7"/>
        <v>0.1</v>
      </c>
    </row>
    <row r="19" spans="1:15" x14ac:dyDescent="0.2">
      <c r="A19" s="116" t="s">
        <v>2633</v>
      </c>
      <c r="B19" s="44" t="str">
        <f>IF(LEN(VLOOKUP(A19,'Species List'!$A:$G,2,FALSE))=0,"",VLOOKUP(A19,'Species List'!$A:$G,2,FALSE))</f>
        <v>common motherwort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1" t="s">
        <v>5410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6"/>
        <v>0.05</v>
      </c>
      <c r="O19" s="97">
        <f t="shared" si="7"/>
        <v>0</v>
      </c>
    </row>
    <row r="20" spans="1:15" x14ac:dyDescent="0.2">
      <c r="A20" s="116" t="s">
        <v>2301</v>
      </c>
      <c r="B20" s="44" t="str">
        <f>IF(LEN(VLOOKUP(A20,'Species List'!$A:$G,2,FALSE))=0,"",VLOOKUP(A20,'Species List'!$A:$G,2,FALSE))</f>
        <v>Virginia stickseed</v>
      </c>
      <c r="C20" s="44">
        <f>IF(LEN(VLOOKUP(A20,'Species List'!$A:$G,3,FALSE))=0,"",VLOOKUP(A20,'Species List'!$A:$G,3,FALSE))</f>
        <v>1</v>
      </c>
      <c r="D20" s="98">
        <f t="shared" si="4"/>
        <v>1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FAC-</v>
      </c>
      <c r="H20" s="44">
        <f>VLOOKUP(A20,'Species List'!$A:$G,7,FALSE)</f>
        <v>0</v>
      </c>
      <c r="J20" s="121" t="s">
        <v>5410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6"/>
        <v>0.05</v>
      </c>
      <c r="O20" s="97">
        <f t="shared" si="7"/>
        <v>0.05</v>
      </c>
    </row>
    <row r="21" spans="1:15" x14ac:dyDescent="0.2">
      <c r="A21" s="116" t="s">
        <v>270</v>
      </c>
      <c r="B21" s="44" t="str">
        <f>IF(LEN(VLOOKUP(A21,'Species List'!$A:$G,2,FALSE))=0,"",VLOOKUP(A21,'Species List'!$A:$G,2,FALSE))</f>
        <v>garlic mustard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21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6"/>
        <v>0.05</v>
      </c>
      <c r="O21" s="97">
        <f t="shared" si="7"/>
        <v>0</v>
      </c>
    </row>
    <row r="22" spans="1:15" x14ac:dyDescent="0.2">
      <c r="A22" s="116" t="s">
        <v>5444</v>
      </c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1" t="s">
        <v>5410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6"/>
        <v>0.05</v>
      </c>
      <c r="O22" s="97" t="e">
        <f t="shared" si="7"/>
        <v>#N/A</v>
      </c>
    </row>
    <row r="23" spans="1:15" x14ac:dyDescent="0.2">
      <c r="A23" s="116" t="s">
        <v>3130</v>
      </c>
      <c r="B23" s="44" t="str">
        <f>IF(LEN(VLOOKUP(A23,'Species List'!$A:$G,2,FALSE))=0,"",VLOOKUP(A23,'Species List'!$A:$G,2,FALSE))</f>
        <v>Clayton's sweet cicely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FACU-</v>
      </c>
      <c r="H23" s="44">
        <f>VLOOKUP(A23,'Species List'!$A:$G,7,FALSE)</f>
        <v>0</v>
      </c>
      <c r="J23" s="121" t="s">
        <v>5410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6"/>
        <v>0.05</v>
      </c>
      <c r="O23" s="97">
        <f t="shared" si="7"/>
        <v>0.15000000000000002</v>
      </c>
    </row>
    <row r="24" spans="1:15" x14ac:dyDescent="0.2">
      <c r="A24" s="116" t="s">
        <v>3324</v>
      </c>
      <c r="B24" s="44" t="str">
        <f>IF(LEN(VLOOKUP(A24,'Species List'!$A:$G,2,FALSE))=0,"",VLOOKUP(A24,'Species List'!$A:$G,2,FALSE))</f>
        <v>lopseed</v>
      </c>
      <c r="C24" s="44">
        <f>IF(LEN(VLOOKUP(A24,'Species List'!$A:$G,3,FALSE))=0,"",VLOOKUP(A24,'Species List'!$A:$G,3,FALSE))</f>
        <v>5</v>
      </c>
      <c r="D24" s="98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UPL</v>
      </c>
      <c r="H24" s="44">
        <f>VLOOKUP(A24,'Species List'!$A:$G,7,FALSE)</f>
        <v>0</v>
      </c>
      <c r="J24" s="121" t="s">
        <v>5412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97">
        <f t="shared" si="6"/>
        <v>8.3333333333333332E-3</v>
      </c>
      <c r="O24" s="97">
        <f t="shared" si="7"/>
        <v>4.1666666666666664E-2</v>
      </c>
    </row>
    <row r="25" spans="1:15" x14ac:dyDescent="0.2">
      <c r="A25" s="116" t="s">
        <v>2586</v>
      </c>
      <c r="B25" s="44" t="str">
        <f>IF(LEN(VLOOKUP(A25,'Species List'!$A:$G,2,FALSE))=0,"",VLOOKUP(A25,'Species List'!$A:$G,2,FALSE))</f>
        <v>woodnettle</v>
      </c>
      <c r="C25" s="44">
        <f>IF(LEN(VLOOKUP(A25,'Species List'!$A:$G,3,FALSE))=0,"",VLOOKUP(A25,'Species List'!$A:$G,3,FALSE))</f>
        <v>3</v>
      </c>
      <c r="D25" s="98">
        <f t="shared" si="4"/>
        <v>3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121" t="s">
        <v>5410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6"/>
        <v>0.05</v>
      </c>
      <c r="O25" s="97">
        <f t="shared" si="7"/>
        <v>0.15000000000000002</v>
      </c>
    </row>
    <row r="26" spans="1:15" x14ac:dyDescent="0.2">
      <c r="A26" s="116" t="s">
        <v>4197</v>
      </c>
      <c r="B26" s="44" t="str">
        <f>IF(LEN(VLOOKUP(A26,'Species List'!$A:$G,2,FALSE))=0,"",VLOOKUP(A26,'Species List'!$A:$G,2,FALSE))</f>
        <v>greenbrier</v>
      </c>
      <c r="C26" s="44">
        <f>IF(LEN(VLOOKUP(A26,'Species List'!$A:$G,3,FALSE))=0,"",VLOOKUP(A26,'Species List'!$A:$G,3,FALSE))</f>
        <v>4</v>
      </c>
      <c r="D26" s="98">
        <f t="shared" si="4"/>
        <v>4</v>
      </c>
      <c r="E26" s="44" t="str">
        <f>IF(LEN(VLOOKUP(A26,'Species List'!$A:$G,4,FALSE))=0,"",VLOOKUP(A26,'Species List'!$A:$G,4,FALSE))</f>
        <v>C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[FAC]</v>
      </c>
      <c r="H26" s="44">
        <f>VLOOKUP(A26,'Species List'!$A:$G,7,FALSE)</f>
        <v>0</v>
      </c>
      <c r="J26" s="121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6"/>
        <v>0.05</v>
      </c>
      <c r="O26" s="97">
        <f t="shared" si="7"/>
        <v>0.2</v>
      </c>
    </row>
    <row r="27" spans="1:15" x14ac:dyDescent="0.2">
      <c r="A27" s="116" t="s">
        <v>234</v>
      </c>
      <c r="B27" s="44" t="str">
        <f>IF(LEN(VLOOKUP(A27,'Species List'!$A:$G,2,FALSE))=0,"",VLOOKUP(A27,'Species List'!$A:$G,2,FALSE))</f>
        <v>white snakeroot</v>
      </c>
      <c r="C27" s="44">
        <f>IF(LEN(VLOOKUP(A27,'Species List'!$A:$G,3,FALSE))=0,"",VLOOKUP(A27,'Species List'!$A:$G,3,FALSE))</f>
        <v>1</v>
      </c>
      <c r="D27" s="98">
        <f t="shared" si="4"/>
        <v>1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1" t="s">
        <v>5410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6"/>
        <v>0.05</v>
      </c>
      <c r="O27" s="97">
        <f t="shared" si="7"/>
        <v>0.05</v>
      </c>
    </row>
    <row r="28" spans="1:15" x14ac:dyDescent="0.2">
      <c r="A28" s="116" t="s">
        <v>461</v>
      </c>
      <c r="B28" s="44" t="str">
        <f>IF(LEN(VLOOKUP(A28,'Species List'!$A:$G,2,FALSE))=0,"",VLOOKUP(A28,'Species List'!$A:$G,2,FALSE))</f>
        <v>common burdock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21" t="s">
        <v>5412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99">
        <f t="shared" si="5"/>
        <v>0.5</v>
      </c>
      <c r="N28" s="97">
        <f t="shared" si="6"/>
        <v>8.3333333333333332E-3</v>
      </c>
      <c r="O28" s="97">
        <f t="shared" si="7"/>
        <v>0</v>
      </c>
    </row>
    <row r="29" spans="1:15" x14ac:dyDescent="0.2">
      <c r="A29" s="116" t="s">
        <v>4602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1</v>
      </c>
      <c r="D29" s="98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FACW</v>
      </c>
      <c r="H29" s="44">
        <f>VLOOKUP(A29,'Species List'!$A:$G,7,FALSE)</f>
        <v>0</v>
      </c>
      <c r="J29" s="121" t="s">
        <v>5412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6"/>
        <v>8.3333333333333332E-3</v>
      </c>
      <c r="O29" s="97">
        <f t="shared" si="7"/>
        <v>8.3333333333333332E-3</v>
      </c>
    </row>
    <row r="30" spans="1:15" x14ac:dyDescent="0.2">
      <c r="A30" s="116" t="s">
        <v>596</v>
      </c>
      <c r="B30" s="44" t="str">
        <f>IF(LEN(VLOOKUP(A30,'Species List'!$A:$G,2,FALSE))=0,"",VLOOKUP(A30,'Species List'!$A:$G,2,FALSE))</f>
        <v>lady fern</v>
      </c>
      <c r="C30" s="44">
        <f>IF(LEN(VLOOKUP(A30,'Species List'!$A:$G,3,FALSE))=0,"",VLOOKUP(A30,'Species List'!$A:$G,3,FALSE))</f>
        <v>5</v>
      </c>
      <c r="D30" s="98">
        <f t="shared" si="4"/>
        <v>5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1" t="s">
        <v>5412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97">
        <f t="shared" si="6"/>
        <v>8.3333333333333332E-3</v>
      </c>
      <c r="O30" s="97">
        <f t="shared" si="7"/>
        <v>4.1666666666666664E-2</v>
      </c>
    </row>
    <row r="31" spans="1:15" x14ac:dyDescent="0.2">
      <c r="A31" s="116" t="s">
        <v>5445</v>
      </c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1" t="s">
        <v>5412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99">
        <f t="shared" si="5"/>
        <v>0.5</v>
      </c>
      <c r="N31" s="97">
        <f t="shared" si="6"/>
        <v>8.3333333333333332E-3</v>
      </c>
      <c r="O31" s="97" t="e">
        <f t="shared" si="7"/>
        <v>#N/A</v>
      </c>
    </row>
    <row r="32" spans="1:15" x14ac:dyDescent="0.2">
      <c r="A32" s="116" t="s">
        <v>3882</v>
      </c>
      <c r="B32" s="44" t="str">
        <f>IF(LEN(VLOOKUP(A32,'Species List'!$A:$G,2,FALSE))=0,"",VLOOKUP(A32,'Species List'!$A:$G,2,FALSE))</f>
        <v>tall coneflower</v>
      </c>
      <c r="C32" s="44">
        <f>IF(LEN(VLOOKUP(A32,'Species List'!$A:$G,3,FALSE))=0,"",VLOOKUP(A32,'Species List'!$A:$G,3,FALSE))</f>
        <v>6</v>
      </c>
      <c r="D32" s="98">
        <f t="shared" si="4"/>
        <v>6</v>
      </c>
      <c r="E32" s="44" t="str">
        <f>IF(LEN(VLOOKUP(A32,'Species List'!$A:$G,4,FALSE))=0,"",VLOOKUP(A32,'Species List'!$A:$G,4,FALSE))</f>
        <v/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</v>
      </c>
      <c r="H32" s="44">
        <f>VLOOKUP(A32,'Species List'!$A:$G,7,FALSE)</f>
        <v>0</v>
      </c>
      <c r="J32" s="121" t="s">
        <v>5410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6"/>
        <v>0.05</v>
      </c>
      <c r="O32" s="97">
        <f t="shared" si="7"/>
        <v>0.30000000000000004</v>
      </c>
    </row>
    <row r="33" spans="1:15" x14ac:dyDescent="0.2">
      <c r="A33" s="116" t="s">
        <v>4219</v>
      </c>
      <c r="B33" s="44" t="str">
        <f>IF(LEN(VLOOKUP(A33,'Species List'!$A:$G,2,FALSE))=0,"",VLOOKUP(A33,'Species List'!$A:$G,2,FALSE))</f>
        <v>giant goldenrod</v>
      </c>
      <c r="C33" s="44">
        <f>IF(LEN(VLOOKUP(A33,'Species List'!$A:$G,3,FALSE))=0,"",VLOOKUP(A33,'Species List'!$A:$G,3,FALSE))</f>
        <v>3</v>
      </c>
      <c r="D33" s="98">
        <f t="shared" si="4"/>
        <v>3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FACW</v>
      </c>
      <c r="H33" s="44">
        <f>VLOOKUP(A33,'Species List'!$A:$G,7,FALSE)</f>
        <v>0</v>
      </c>
      <c r="J33" s="121" t="s">
        <v>5410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6"/>
        <v>0.05</v>
      </c>
      <c r="O33" s="97">
        <f t="shared" si="7"/>
        <v>0.15000000000000002</v>
      </c>
    </row>
    <row r="34" spans="1:15" x14ac:dyDescent="0.2">
      <c r="A34" s="116" t="s">
        <v>5429</v>
      </c>
      <c r="B34" s="44" t="str">
        <f>IF(LEN(VLOOKUP(A34,'Species List'!$A:$G,2,FALSE))=0,"",VLOOKUP(A34,'Species List'!$A:$G,2,FALSE))</f>
        <v>white lamb's quarters</v>
      </c>
      <c r="C34" s="44">
        <f>IF(LEN(VLOOKUP(A34,'Species List'!$A:$G,3,FALSE))=0,"",VLOOKUP(A34,'Species List'!$A:$G,3,FALSE))</f>
        <v>0</v>
      </c>
      <c r="D34" s="98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Introduced</v>
      </c>
      <c r="G34" s="44" t="str">
        <f>IF(LEN(VLOOKUP(A34,'Species List'!$A:$G,6,FALSE))=0,"",VLOOKUP(A34,'Species List'!$A:$G,6,FALSE))</f>
        <v>FAC-</v>
      </c>
      <c r="H34" s="44">
        <f>VLOOKUP(A34,'Species List'!$A:$G,7,FALSE)</f>
        <v>0</v>
      </c>
      <c r="J34" s="121" t="s">
        <v>5410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6"/>
        <v>0.05</v>
      </c>
      <c r="O34" s="97">
        <f t="shared" si="7"/>
        <v>0</v>
      </c>
    </row>
    <row r="35" spans="1:15" x14ac:dyDescent="0.2">
      <c r="A35" s="116" t="s">
        <v>5446</v>
      </c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1" t="s">
        <v>5410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6"/>
        <v>0.05</v>
      </c>
      <c r="O35" s="97" t="e">
        <f t="shared" si="7"/>
        <v>#N/A</v>
      </c>
    </row>
    <row r="36" spans="1:15" x14ac:dyDescent="0.2">
      <c r="A36" s="116" t="s">
        <v>2240</v>
      </c>
      <c r="B36" s="44" t="str">
        <f>IF(LEN(VLOOKUP(A36,'Species List'!$A:$G,2,FALSE))=0,"",VLOOKUP(A36,'Species List'!$A:$G,2,FALSE))</f>
        <v>white avens</v>
      </c>
      <c r="C36" s="44">
        <f>IF(LEN(VLOOKUP(A36,'Species List'!$A:$G,3,FALSE))=0,"",VLOOKUP(A36,'Species List'!$A:$G,3,FALSE))</f>
        <v>2</v>
      </c>
      <c r="D36" s="98">
        <f t="shared" si="4"/>
        <v>2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</v>
      </c>
      <c r="H36" s="44">
        <f>VLOOKUP(A36,'Species List'!$A:$G,7,FALSE)</f>
        <v>0</v>
      </c>
      <c r="J36" s="121" t="s">
        <v>5410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6"/>
        <v>0.05</v>
      </c>
      <c r="O36" s="97">
        <f t="shared" si="7"/>
        <v>0.1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6"/>
        <v>#N/A</v>
      </c>
      <c r="O37" s="97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6"/>
        <v>#N/A</v>
      </c>
      <c r="O38" s="97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6"/>
        <v>#N/A</v>
      </c>
      <c r="O39" s="97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6"/>
        <v>#N/A</v>
      </c>
      <c r="O40" s="97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6"/>
        <v>#N/A</v>
      </c>
      <c r="O41" s="97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si="6"/>
        <v>#N/A</v>
      </c>
      <c r="O42" s="97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6"/>
        <v>#N/A</v>
      </c>
      <c r="O43" s="97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6"/>
        <v>#N/A</v>
      </c>
      <c r="O44" s="97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6"/>
        <v>#N/A</v>
      </c>
      <c r="O45" s="97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6"/>
        <v>#N/A</v>
      </c>
      <c r="O46" s="97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6"/>
        <v>#N/A</v>
      </c>
      <c r="O47" s="97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6"/>
        <v>#N/A</v>
      </c>
      <c r="O48" s="97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6"/>
        <v>#N/A</v>
      </c>
      <c r="O49" s="97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6"/>
        <v>#N/A</v>
      </c>
      <c r="O50" s="97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6"/>
        <v>#N/A</v>
      </c>
      <c r="O51" s="97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6"/>
        <v>#N/A</v>
      </c>
      <c r="O52" s="97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6"/>
        <v>#N/A</v>
      </c>
      <c r="O53" s="97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6"/>
        <v>#N/A</v>
      </c>
      <c r="O54" s="97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6"/>
        <v>#N/A</v>
      </c>
      <c r="O55" s="97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6"/>
        <v>#N/A</v>
      </c>
      <c r="O56" s="97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6"/>
        <v>#N/A</v>
      </c>
      <c r="O57" s="97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6"/>
        <v>#N/A</v>
      </c>
      <c r="O58" s="97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6"/>
        <v>#N/A</v>
      </c>
      <c r="O59" s="97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6"/>
        <v>#N/A</v>
      </c>
      <c r="O60" s="97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6"/>
        <v>#N/A</v>
      </c>
      <c r="O61" s="97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6"/>
        <v>#N/A</v>
      </c>
      <c r="O62" s="97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6"/>
        <v>#N/A</v>
      </c>
      <c r="O63" s="97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6"/>
        <v>#N/A</v>
      </c>
      <c r="O64" s="97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6"/>
        <v>#N/A</v>
      </c>
      <c r="O65" s="97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6"/>
        <v>#N/A</v>
      </c>
      <c r="O66" s="97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6"/>
        <v>#N/A</v>
      </c>
      <c r="O67" s="97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6"/>
        <v>#N/A</v>
      </c>
      <c r="O68" s="97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6"/>
        <v>#N/A</v>
      </c>
      <c r="O69" s="97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6"/>
        <v>#N/A</v>
      </c>
      <c r="O70" s="97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6"/>
        <v>#N/A</v>
      </c>
      <c r="O71" s="97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6"/>
        <v>#N/A</v>
      </c>
      <c r="O72" s="97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6"/>
        <v>#N/A</v>
      </c>
      <c r="O73" s="97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6"/>
        <v>#N/A</v>
      </c>
      <c r="O74" s="97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6"/>
        <v>#N/A</v>
      </c>
      <c r="O75" s="97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97" t="e">
        <f t="shared" si="6"/>
        <v>#N/A</v>
      </c>
      <c r="O76" s="97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5"/>
        <v>#N/A</v>
      </c>
      <c r="N77" s="97" t="e">
        <f t="shared" si="6"/>
        <v>#N/A</v>
      </c>
      <c r="O77" s="97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5"/>
        <v>#N/A</v>
      </c>
      <c r="N78" s="97" t="e">
        <f t="shared" si="6"/>
        <v>#N/A</v>
      </c>
      <c r="O78" s="97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ref="M79:M142" si="9">VALUE(L79)</f>
        <v>#N/A</v>
      </c>
      <c r="N79" s="97" t="e">
        <f t="shared" ref="N79:N142" si="10">L79/$L$153</f>
        <v>#N/A</v>
      </c>
      <c r="O79" s="97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97" t="e">
        <f t="shared" si="10"/>
        <v>#N/A</v>
      </c>
      <c r="O140" s="97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9"/>
        <v>#N/A</v>
      </c>
      <c r="N141" s="97" t="e">
        <f t="shared" si="10"/>
        <v>#N/A</v>
      </c>
      <c r="O141" s="97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9"/>
        <v>#N/A</v>
      </c>
      <c r="N142" s="97" t="e">
        <f t="shared" si="10"/>
        <v>#N/A</v>
      </c>
      <c r="O142" s="97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ref="M143:M152" si="13">VALUE(L143)</f>
        <v>#N/A</v>
      </c>
      <c r="N143" s="97" t="e">
        <f t="shared" ref="N143:N151" si="14">L143/$L$153</f>
        <v>#N/A</v>
      </c>
      <c r="O143" s="97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si="14"/>
        <v>#N/A</v>
      </c>
      <c r="O149" s="97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8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99" t="e">
        <f t="shared" si="13"/>
        <v>#N/A</v>
      </c>
      <c r="N150" s="97" t="e">
        <f t="shared" si="14"/>
        <v>#N/A</v>
      </c>
      <c r="O150" s="97" t="e">
        <f t="shared" si="15"/>
        <v>#N/A</v>
      </c>
    </row>
    <row r="151" spans="1:15" s="97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8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99" t="e">
        <f t="shared" si="13"/>
        <v>#N/A</v>
      </c>
      <c r="N151" s="97" t="e">
        <f t="shared" si="14"/>
        <v>#N/A</v>
      </c>
      <c r="O151" s="97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8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99" t="e">
        <f t="shared" si="13"/>
        <v>#N/A</v>
      </c>
      <c r="N152" s="97" t="e">
        <f t="shared" ref="N152" si="16">L152/$L$152</f>
        <v>#N/A</v>
      </c>
      <c r="O152" s="97" t="e">
        <f t="shared" si="15"/>
        <v>#N/A</v>
      </c>
    </row>
    <row r="153" spans="1:15" ht="14.25" thickTop="1" thickBot="1" x14ac:dyDescent="0.25">
      <c r="I153" s="148" t="s">
        <v>5379</v>
      </c>
      <c r="J153" s="149"/>
      <c r="K153" s="150"/>
      <c r="L153" s="63">
        <f>SUMIF(L12:L152,"&gt;=0")</f>
        <v>60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3"/>
  <sheetViews>
    <sheetView workbookViewId="0">
      <selection activeCell="B6" sqref="B6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5423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5426</v>
      </c>
      <c r="D9" s="49" t="s">
        <v>5417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5426</v>
      </c>
      <c r="M9" s="49" t="s">
        <v>133</v>
      </c>
      <c r="N9" s="43" t="s">
        <v>4833</v>
      </c>
      <c r="O9" s="43" t="s">
        <v>4834</v>
      </c>
    </row>
    <row r="10" spans="1:15" s="122" customFormat="1" ht="14.25" thickTop="1" thickBot="1" x14ac:dyDescent="0.25">
      <c r="A10" s="30" t="s">
        <v>5448</v>
      </c>
      <c r="B10" s="123"/>
      <c r="C10" s="123"/>
      <c r="D10" s="123"/>
      <c r="E10" s="123"/>
      <c r="F10" s="123"/>
      <c r="G10" s="123"/>
      <c r="H10" s="123"/>
      <c r="I10" s="124"/>
      <c r="J10" s="123"/>
      <c r="K10" s="123"/>
      <c r="L10" s="123"/>
      <c r="M10" s="123"/>
      <c r="N10" s="125"/>
      <c r="O10" s="125"/>
    </row>
    <row r="11" spans="1:15" s="122" customFormat="1" ht="13.5" thickTop="1" x14ac:dyDescent="0.2">
      <c r="A11" s="123"/>
      <c r="B11" s="123"/>
      <c r="C11" s="123"/>
      <c r="D11" s="123"/>
      <c r="E11" s="123"/>
      <c r="F11" s="123"/>
      <c r="G11" s="123"/>
      <c r="H11" s="123"/>
      <c r="I11" s="124"/>
      <c r="J11" s="123"/>
      <c r="K11" s="123"/>
      <c r="L11" s="123"/>
      <c r="M11" s="123"/>
      <c r="N11" s="125"/>
      <c r="O11" s="125"/>
    </row>
    <row r="12" spans="1:15" x14ac:dyDescent="0.2">
      <c r="A12" s="116" t="s">
        <v>1141</v>
      </c>
      <c r="B12" s="44" t="str">
        <f>IF(LEN(VLOOKUP(A12,'Species List'!$A:$G,2,FALSE))=0,"",VLOOKUP(A12,'Species List'!$A:$G,2,FALSE))</f>
        <v>starry sedge</v>
      </c>
      <c r="C12" s="44">
        <f>IF(LEN(VLOOKUP(A12,'Species List'!$A:$G,3,FALSE))=0,"",VLOOKUP(A12,'Species List'!$A:$G,3,FALSE))</f>
        <v>4</v>
      </c>
      <c r="D12" s="98">
        <f t="shared" ref="D12:D20" si="0">VALUE(C12)</f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1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99">
        <f t="shared" ref="M12:M78" si="1">VALUE(L12)</f>
        <v>37.5</v>
      </c>
      <c r="N12" s="108">
        <f t="shared" ref="N12:N77" si="2">L12/$L$153</f>
        <v>0.67567567567567566</v>
      </c>
      <c r="O12" s="108">
        <f t="shared" ref="O12:O78" si="3">D12*N12</f>
        <v>2.7027027027027026</v>
      </c>
    </row>
    <row r="13" spans="1:15" x14ac:dyDescent="0.2">
      <c r="A13" s="116" t="s">
        <v>5449</v>
      </c>
      <c r="B13" s="44" t="e">
        <f>IF(LEN(VLOOKUP(A13,'Species List'!$A:$G,2,FALSE))=0,"",VLOOKUP(A13,'Species List'!$A:$G,2,FALSE))</f>
        <v>#N/A</v>
      </c>
      <c r="C13" s="44">
        <v>3</v>
      </c>
      <c r="D13" s="98">
        <f t="shared" si="0"/>
        <v>3</v>
      </c>
      <c r="E13" s="44" t="s">
        <v>189</v>
      </c>
      <c r="F13" s="44" t="s">
        <v>147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si="1"/>
        <v>15</v>
      </c>
      <c r="N13" s="108">
        <f t="shared" si="2"/>
        <v>0.27027027027027029</v>
      </c>
      <c r="O13" s="108">
        <f t="shared" si="3"/>
        <v>0.81081081081081086</v>
      </c>
    </row>
    <row r="14" spans="1:15" x14ac:dyDescent="0.2">
      <c r="A14" s="116" t="s">
        <v>923</v>
      </c>
      <c r="B14" s="44" t="str">
        <f>IF(LEN(VLOOKUP(A14,'Species List'!$A:$G,2,FALSE))=0,"",VLOOKUP(A14,'Species List'!$A:$G,2,FALSE))</f>
        <v>charming sedge</v>
      </c>
      <c r="C14" s="44">
        <f>IF(LEN(VLOOKUP(A14,'Species List'!$A:$G,3,FALSE))=0,"",VLOOKUP(A14,'Species List'!$A:$G,3,FALSE))</f>
        <v>2</v>
      </c>
      <c r="D14" s="98">
        <f t="shared" si="0"/>
        <v>2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21" t="s">
        <v>5410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107">
        <f t="shared" si="2"/>
        <v>5.4054054054054057E-2</v>
      </c>
      <c r="O14" s="107">
        <f t="shared" si="3"/>
        <v>0.10810810810810811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6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6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104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104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5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5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si="2"/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1"/>
        <v>#N/A</v>
      </c>
      <c r="N77" s="97" t="e">
        <f t="shared" si="2"/>
        <v>#N/A</v>
      </c>
      <c r="O77" s="97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1"/>
        <v>#N/A</v>
      </c>
      <c r="N78" s="97" t="e">
        <f t="shared" ref="N78:N141" si="5">L78/$L$153</f>
        <v>#N/A</v>
      </c>
      <c r="O78" s="97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ref="M79:M142" si="7">VALUE(L79)</f>
        <v>#N/A</v>
      </c>
      <c r="N79" s="97" t="e">
        <f t="shared" si="5"/>
        <v>#N/A</v>
      </c>
      <c r="O79" s="97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si="5"/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7"/>
        <v>#N/A</v>
      </c>
      <c r="N141" s="97" t="e">
        <f t="shared" si="5"/>
        <v>#N/A</v>
      </c>
      <c r="O141" s="97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7"/>
        <v>#N/A</v>
      </c>
      <c r="N142" s="97" t="e">
        <f t="shared" ref="N142:N151" si="9">L142/$L$153</f>
        <v>#N/A</v>
      </c>
      <c r="O142" s="97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ref="M143:M152" si="11">VALUE(L143)</f>
        <v>#N/A</v>
      </c>
      <c r="N143" s="97" t="e">
        <f t="shared" si="9"/>
        <v>#N/A</v>
      </c>
      <c r="O143" s="97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8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99" t="e">
        <f t="shared" si="11"/>
        <v>#N/A</v>
      </c>
      <c r="N150" s="97" t="e">
        <f t="shared" si="9"/>
        <v>#N/A</v>
      </c>
      <c r="O150" s="97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8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99" t="e">
        <f t="shared" si="11"/>
        <v>#N/A</v>
      </c>
      <c r="N151" s="97" t="e">
        <f t="shared" si="9"/>
        <v>#N/A</v>
      </c>
      <c r="O151" s="97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8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99" t="e">
        <f t="shared" si="11"/>
        <v>#N/A</v>
      </c>
      <c r="N152" s="97" t="e">
        <f>L152/$L$153</f>
        <v>#N/A</v>
      </c>
      <c r="O152" s="97" t="e">
        <f t="shared" si="12"/>
        <v>#N/A</v>
      </c>
    </row>
    <row r="153" spans="1:15" ht="14.25" thickTop="1" thickBot="1" x14ac:dyDescent="0.25">
      <c r="I153" s="148" t="s">
        <v>5379</v>
      </c>
      <c r="J153" s="149"/>
      <c r="K153" s="150"/>
      <c r="L153" s="63">
        <f>SUMIF(L12:L152,"&gt;=0")</f>
        <v>55.5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5422</v>
      </c>
      <c r="C2" s="56" t="s">
        <v>5418</v>
      </c>
      <c r="D2" s="56" t="s">
        <v>5419</v>
      </c>
      <c r="E2" s="56" t="s">
        <v>5420</v>
      </c>
      <c r="F2" s="56" t="s">
        <v>5421</v>
      </c>
    </row>
    <row r="3" spans="1:6" ht="24" customHeight="1" thickTop="1" x14ac:dyDescent="0.25">
      <c r="A3" s="52" t="s">
        <v>4838</v>
      </c>
      <c r="B3" s="93"/>
      <c r="C3" s="93"/>
      <c r="D3" s="93"/>
      <c r="E3" s="93"/>
      <c r="F3" s="94"/>
    </row>
    <row r="4" spans="1:6" ht="18" x14ac:dyDescent="0.25">
      <c r="A4" s="53" t="s">
        <v>5413</v>
      </c>
      <c r="B4" s="101">
        <f>COUNTIF(Woody!$F$12:$F$151,"Native")</f>
        <v>11</v>
      </c>
      <c r="C4" s="101">
        <f>COUNTIF(Forbs!$F$12:$F$150,"Native")</f>
        <v>17</v>
      </c>
      <c r="D4" s="101">
        <f>COUNTIF(Grasses!$F$12:$F$151,"Native")</f>
        <v>3</v>
      </c>
      <c r="E4" s="101">
        <f>AVERAGE(B4:D4)</f>
        <v>10.333333333333334</v>
      </c>
      <c r="F4" s="101">
        <f>SUM(B4:D4)</f>
        <v>31</v>
      </c>
    </row>
    <row r="5" spans="1:6" ht="18" x14ac:dyDescent="0.25">
      <c r="A5" s="53" t="s">
        <v>4842</v>
      </c>
      <c r="B5" s="101">
        <f>COUNTIF(Woody!$F12:$F201,"Introduced")</f>
        <v>3</v>
      </c>
      <c r="C5" s="101">
        <f>COUNTIF(Forbs!$F12:$F201,"Introduced")</f>
        <v>5</v>
      </c>
      <c r="D5" s="101">
        <f>COUNTIF(Grasses!$F12:$F201,"Introduced")</f>
        <v>0</v>
      </c>
      <c r="E5" s="101">
        <f t="shared" ref="E5:E6" si="0">AVERAGE(B5:D5)</f>
        <v>2.6666666666666665</v>
      </c>
      <c r="F5" s="101">
        <f>SUM(B5:D5)</f>
        <v>8</v>
      </c>
    </row>
    <row r="6" spans="1:6" s="81" customFormat="1" ht="21" x14ac:dyDescent="0.35">
      <c r="A6" s="53" t="s">
        <v>5414</v>
      </c>
      <c r="B6" s="101">
        <f>SUM(B4:B5)</f>
        <v>14</v>
      </c>
      <c r="C6" s="101">
        <f>SUM(C4:C5)</f>
        <v>22</v>
      </c>
      <c r="D6" s="101">
        <f>SUM(D4:D5)</f>
        <v>3</v>
      </c>
      <c r="E6" s="101">
        <f t="shared" si="0"/>
        <v>13</v>
      </c>
      <c r="F6" s="101">
        <f>SUM(B6:D6)</f>
        <v>39</v>
      </c>
    </row>
    <row r="7" spans="1:6" ht="18" x14ac:dyDescent="0.25">
      <c r="A7" s="53" t="s">
        <v>4843</v>
      </c>
      <c r="B7" s="101">
        <f>AVERAGEIF(Woody!D12:D152,"&gt;0")</f>
        <v>2.9090909090909092</v>
      </c>
      <c r="C7" s="101">
        <f>AVERAGEIF(Forbs!D12:D152,"&gt;0")</f>
        <v>3.5882352941176472</v>
      </c>
      <c r="D7" s="101">
        <f>AVERAGEIF(Grasses!D12:D152,"&gt;0")</f>
        <v>3</v>
      </c>
      <c r="E7" s="101">
        <f>AVERAGE(B7:D7)</f>
        <v>3.1657754010695189</v>
      </c>
      <c r="F7" s="101">
        <f>(SUMIF(Woody!D12:D152,"&gt;0")+SUMIF(Forbs!D12:D152,"&gt;0")+SUMIF(Grasses!D12:D152,"&gt;0"))/(COUNTIF(Woody!D12:D152,"&gt;0")+COUNTIF(Forbs!D12:D152,"&gt;0")+COUNTIF(Grasses!D12:D152,"&gt;0"))</f>
        <v>3.2903225806451615</v>
      </c>
    </row>
    <row r="8" spans="1:6" s="31" customFormat="1" ht="21" x14ac:dyDescent="0.35">
      <c r="A8" s="53" t="s">
        <v>5415</v>
      </c>
      <c r="B8" s="101">
        <f>AVERAGEIF(Woody!D12:D152,"&gt;=0")</f>
        <v>2.2857142857142856</v>
      </c>
      <c r="C8" s="101">
        <f>AVERAGEIF(Forbs!D12:D152,"&gt;=0")</f>
        <v>2.7727272727272729</v>
      </c>
      <c r="D8" s="101">
        <f>AVERAGEIF(Grasses!D12:D152,"&gt;=0")</f>
        <v>3</v>
      </c>
      <c r="E8" s="101">
        <f>AVERAGE(B8:D8)</f>
        <v>2.6861471861471862</v>
      </c>
      <c r="F8" s="101">
        <f>(SUMIF(Woody!D12:D152,"&gt;=0")+SUMIF(Forbs!D12:D152,"&gt;=0")+SUMIF(Grasses!D12:D152,"&gt;=0"))/(COUNTIF(Woody!D12:D152,"&gt;=0")+COUNTIF(Forbs!D12:D152,"&gt;=0")+COUNTIF(Grasses!D12:D152,"&gt;=0"))</f>
        <v>2.6153846153846154</v>
      </c>
    </row>
    <row r="9" spans="1:6" ht="18" x14ac:dyDescent="0.25">
      <c r="A9" s="53" t="s">
        <v>4836</v>
      </c>
      <c r="B9" s="101">
        <f>SQRT(B4)*B7</f>
        <v>9.6483630264884361</v>
      </c>
      <c r="C9" s="101">
        <f>SQRT(C4)*C7</f>
        <v>14.794673127216312</v>
      </c>
      <c r="D9" s="101">
        <f>SQRT(D4)*D7</f>
        <v>5.196152422706632</v>
      </c>
      <c r="E9" s="101">
        <f>SQRT(E4)*E7</f>
        <v>10.176544118552282</v>
      </c>
      <c r="F9" s="101">
        <f>SQRT(F4)*F7</f>
        <v>18.319740806731041</v>
      </c>
    </row>
    <row r="10" spans="1:6" s="82" customFormat="1" ht="21" x14ac:dyDescent="0.35">
      <c r="A10" s="53" t="s">
        <v>5416</v>
      </c>
      <c r="B10" s="101">
        <f>SQRT(B6)*B8</f>
        <v>8.5523597411975789</v>
      </c>
      <c r="C10" s="101">
        <f>SQRT(C6)*C8</f>
        <v>13.005243697692238</v>
      </c>
      <c r="D10" s="101">
        <f>SQRT(D6)*D8</f>
        <v>5.196152422706632</v>
      </c>
      <c r="E10" s="101">
        <f>SQRT(E6)*E8</f>
        <v>9.6850414130969931</v>
      </c>
      <c r="F10" s="101">
        <f>SQRT(F6)*F8</f>
        <v>16.333071688118888</v>
      </c>
    </row>
    <row r="11" spans="1:6" ht="18" x14ac:dyDescent="0.25">
      <c r="A11" s="53" t="s">
        <v>4844</v>
      </c>
      <c r="B11" s="101">
        <f>SUMIF(Woody!$M$12:$M$152,"&gt;=0")</f>
        <v>189.5</v>
      </c>
      <c r="C11" s="101">
        <f>SUMIF(Forbs!$M$12:$M$153,"&gt;=0")</f>
        <v>60</v>
      </c>
      <c r="D11" s="101">
        <f>SUMIF(Grasses!$M$12:$M$152,"&gt;=0")</f>
        <v>55.5</v>
      </c>
      <c r="E11" s="101">
        <f>AVERAGE(B11:D11)</f>
        <v>101.66666666666667</v>
      </c>
      <c r="F11" s="101">
        <f>SUM(B11:D11)</f>
        <v>305</v>
      </c>
    </row>
    <row r="12" spans="1:6" ht="18" x14ac:dyDescent="0.25">
      <c r="A12" s="53" t="s">
        <v>5380</v>
      </c>
      <c r="B12" s="101">
        <f>SUMIF(Woody!$F$12:$F$152,"Introduced",Woody!$L$12:$L$152)</f>
        <v>128</v>
      </c>
      <c r="C12" s="101">
        <f>SUMIF(Forbs!$F$12:$F$153,"Introduced",Forbs!$L$12:$L$153)</f>
        <v>12.5</v>
      </c>
      <c r="D12" s="101">
        <f>SUMIF(Grasses!$F$12:$F$152,"Introduced",Grasses!$L$12:$L$152)</f>
        <v>0</v>
      </c>
      <c r="E12" s="101">
        <f>AVERAGE(B12:D12)</f>
        <v>46.833333333333336</v>
      </c>
      <c r="F12" s="101">
        <f>SUM(B12:D12)</f>
        <v>140.5</v>
      </c>
    </row>
    <row r="13" spans="1:6" ht="18.75" thickBot="1" x14ac:dyDescent="0.3">
      <c r="A13" s="54" t="s">
        <v>4845</v>
      </c>
      <c r="B13" s="102">
        <f>B12/B11</f>
        <v>0.67546174142480209</v>
      </c>
      <c r="C13" s="102">
        <f>C12/C11</f>
        <v>0.20833333333333334</v>
      </c>
      <c r="D13" s="102">
        <f>D12/D11</f>
        <v>0</v>
      </c>
      <c r="E13" s="102">
        <f>E12/E11</f>
        <v>0.46065573770491802</v>
      </c>
      <c r="F13" s="102">
        <f>F12/F11</f>
        <v>0.46065573770491802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4839</v>
      </c>
      <c r="B15" s="100">
        <f>SUMIF(Woody!$O$12:$O$152,"&gt;=0")</f>
        <v>1.1741424802110818</v>
      </c>
      <c r="C15" s="100">
        <f>SUMIF(Forbs!$O$12:$O$152,"&gt;=0")</f>
        <v>2.3833333333333337</v>
      </c>
      <c r="D15" s="100">
        <f>SUMIF(Grasses!$O$12:$O$152,"&gt;=0")</f>
        <v>3.6216216216216219</v>
      </c>
      <c r="E15" s="100">
        <f>AVERAGE(B15:D15)</f>
        <v>2.3930324783886792</v>
      </c>
      <c r="F15" s="101">
        <f>SUM(B15:D15)</f>
        <v>7.179097435166037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4840</v>
      </c>
      <c r="B17" s="95"/>
      <c r="C17" s="95"/>
      <c r="D17" s="95"/>
      <c r="E17" s="95"/>
      <c r="F17" s="95"/>
    </row>
    <row r="18" spans="1:6" ht="18.75" thickBot="1" x14ac:dyDescent="0.3">
      <c r="A18" s="54" t="s">
        <v>4841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2025-11-26T14:57:59Z</dcterms:modified>
</cp:coreProperties>
</file>