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mmab3\Documents\GitHub\DCVegMon\data\2022 data\LBRP\"/>
    </mc:Choice>
  </mc:AlternateContent>
  <xr:revisionPtr revIDLastSave="0" documentId="13_ncr:1_{12A3439B-610D-4230-9088-BE953ACE5FE7}" xr6:coauthVersionLast="47" xr6:coauthVersionMax="47" xr10:uidLastSave="{00000000-0000-0000-0000-000000000000}"/>
  <bookViews>
    <workbookView xWindow="1560" yWindow="1560" windowWidth="16410" windowHeight="11295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" i="10" l="1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6" l="1"/>
  <c r="M10" i="9"/>
  <c r="M11" i="6"/>
  <c r="M11" i="9"/>
  <c r="C13" i="10"/>
  <c r="D13" i="10" s="1"/>
  <c r="C14" i="10"/>
  <c r="D14" i="10" s="1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K12" i="6" l="1"/>
  <c r="L12" i="6" s="1"/>
  <c r="M12" i="6" s="1"/>
  <c r="H12" i="6"/>
  <c r="H13" i="6"/>
  <c r="G12" i="6"/>
  <c r="F12" i="6"/>
  <c r="E12" i="6"/>
  <c r="B12" i="6"/>
  <c r="C12" i="6"/>
  <c r="D12" i="6" s="1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6" i="10"/>
  <c r="C27" i="10"/>
  <c r="C28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D13" i="9"/>
  <c r="D14" i="9"/>
  <c r="D15" i="9"/>
  <c r="D17" i="9"/>
  <c r="D18" i="9"/>
  <c r="C19" i="9"/>
  <c r="C20" i="9"/>
  <c r="C21" i="9"/>
  <c r="C22" i="9"/>
  <c r="C23" i="9"/>
  <c r="C24" i="9"/>
  <c r="C25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9" i="10"/>
  <c r="L149" i="10" s="1"/>
  <c r="M149" i="10" s="1"/>
  <c r="K150" i="10"/>
  <c r="L150" i="10" s="1"/>
  <c r="H149" i="10"/>
  <c r="H150" i="10"/>
  <c r="G149" i="10"/>
  <c r="G150" i="10"/>
  <c r="F149" i="10"/>
  <c r="F150" i="10"/>
  <c r="E149" i="10"/>
  <c r="E150" i="10"/>
  <c r="C149" i="10"/>
  <c r="D149" i="10" s="1"/>
  <c r="C150" i="10"/>
  <c r="D150" i="10" s="1"/>
  <c r="B149" i="10"/>
  <c r="B150" i="10"/>
  <c r="D35" i="10"/>
  <c r="D36" i="10"/>
  <c r="D37" i="10"/>
  <c r="D38" i="10"/>
  <c r="D39" i="10"/>
  <c r="D40" i="10"/>
  <c r="D13" i="6"/>
  <c r="D15" i="6"/>
  <c r="D16" i="6"/>
  <c r="D19" i="6"/>
  <c r="D26" i="10"/>
  <c r="D27" i="10"/>
  <c r="D28" i="10"/>
  <c r="D29" i="10"/>
  <c r="D30" i="10"/>
  <c r="D31" i="10"/>
  <c r="D32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N150" i="10" l="1"/>
  <c r="M150" i="10"/>
  <c r="O150" i="10"/>
  <c r="M150" i="6"/>
  <c r="H15" i="6" l="1"/>
  <c r="H14" i="6"/>
  <c r="H14" i="10"/>
  <c r="H13" i="10"/>
  <c r="H12" i="10"/>
  <c r="K148" i="10" l="1"/>
  <c r="L148" i="10" s="1"/>
  <c r="H148" i="10"/>
  <c r="G148" i="10"/>
  <c r="F148" i="10"/>
  <c r="E148" i="10"/>
  <c r="C148" i="10"/>
  <c r="D148" i="10" s="1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D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E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13" i="7" s="1"/>
  <c r="B5" i="7"/>
  <c r="C4" i="7"/>
  <c r="C5" i="7"/>
  <c r="C12" i="7"/>
  <c r="M105" i="10"/>
  <c r="M122" i="10"/>
  <c r="M127" i="10"/>
  <c r="M139" i="10"/>
  <c r="M144" i="10"/>
  <c r="M134" i="10"/>
  <c r="M129" i="10"/>
  <c r="M141" i="10"/>
  <c r="M146" i="10"/>
  <c r="M124" i="10"/>
  <c r="M136" i="10"/>
  <c r="M34" i="10"/>
  <c r="M36" i="10"/>
  <c r="M38" i="10"/>
  <c r="M40" i="10"/>
  <c r="M52" i="10"/>
  <c r="M64" i="10"/>
  <c r="M76" i="10"/>
  <c r="M88" i="10"/>
  <c r="M100" i="10"/>
  <c r="M110" i="10"/>
  <c r="M47" i="10"/>
  <c r="M59" i="10"/>
  <c r="M71" i="10"/>
  <c r="M83" i="10"/>
  <c r="M95" i="10"/>
  <c r="M117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07" i="10"/>
  <c r="M119" i="10"/>
  <c r="M15" i="10"/>
  <c r="M17" i="10"/>
  <c r="M19" i="10"/>
  <c r="M21" i="10"/>
  <c r="M23" i="10"/>
  <c r="M25" i="10"/>
  <c r="M27" i="10"/>
  <c r="M29" i="10"/>
  <c r="M31" i="10"/>
  <c r="M44" i="10"/>
  <c r="M56" i="10"/>
  <c r="M68" i="10"/>
  <c r="M80" i="10"/>
  <c r="M92" i="10"/>
  <c r="M114" i="10"/>
  <c r="M131" i="10"/>
  <c r="M143" i="10"/>
  <c r="M148" i="10"/>
  <c r="M126" i="10"/>
  <c r="M138" i="10"/>
  <c r="M35" i="10"/>
  <c r="M37" i="10"/>
  <c r="M39" i="10"/>
  <c r="M46" i="10"/>
  <c r="M58" i="10"/>
  <c r="M70" i="10"/>
  <c r="M82" i="10"/>
  <c r="M94" i="10"/>
  <c r="M116" i="10"/>
  <c r="M133" i="10"/>
  <c r="M75" i="10"/>
  <c r="M65" i="10"/>
  <c r="M77" i="10"/>
  <c r="M89" i="10"/>
  <c r="M101" i="10"/>
  <c r="M111" i="10"/>
  <c r="M128" i="10"/>
  <c r="M140" i="10"/>
  <c r="M145" i="10"/>
  <c r="M87" i="10"/>
  <c r="M121" i="10"/>
  <c r="M48" i="10"/>
  <c r="M135" i="10"/>
  <c r="M13" i="10"/>
  <c r="M109" i="10"/>
  <c r="M41" i="10"/>
  <c r="M130" i="10"/>
  <c r="M142" i="10"/>
  <c r="M147" i="10"/>
  <c r="M33" i="10"/>
  <c r="M99" i="10"/>
  <c r="M60" i="10"/>
  <c r="M72" i="10"/>
  <c r="M84" i="10"/>
  <c r="M96" i="10"/>
  <c r="M106" i="10"/>
  <c r="M118" i="10"/>
  <c r="M123" i="10"/>
  <c r="M43" i="10"/>
  <c r="M55" i="10"/>
  <c r="M67" i="10"/>
  <c r="M79" i="10"/>
  <c r="M91" i="10"/>
  <c r="M103" i="10"/>
  <c r="M113" i="10"/>
  <c r="M14" i="10"/>
  <c r="M16" i="10"/>
  <c r="M18" i="10"/>
  <c r="M20" i="10"/>
  <c r="M22" i="10"/>
  <c r="M24" i="10"/>
  <c r="M26" i="10"/>
  <c r="M28" i="10"/>
  <c r="M30" i="10"/>
  <c r="M32" i="10"/>
  <c r="M50" i="10"/>
  <c r="M62" i="10"/>
  <c r="M74" i="10"/>
  <c r="M86" i="10"/>
  <c r="M98" i="10"/>
  <c r="M108" i="10"/>
  <c r="M120" i="10"/>
  <c r="M125" i="10"/>
  <c r="M137" i="10"/>
  <c r="M51" i="10"/>
  <c r="M63" i="10"/>
  <c r="M104" i="10"/>
  <c r="M53" i="10"/>
  <c r="M45" i="10"/>
  <c r="M57" i="10"/>
  <c r="M69" i="10"/>
  <c r="M81" i="10"/>
  <c r="M93" i="10"/>
  <c r="M115" i="10"/>
  <c r="M132" i="10"/>
  <c r="L151" i="10"/>
  <c r="L151" i="9"/>
  <c r="N10" i="9" l="1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3" i="10"/>
  <c r="O23" i="10" s="1"/>
  <c r="N21" i="10"/>
  <c r="O21" i="10" s="1"/>
  <c r="N19" i="10"/>
  <c r="O19" i="10" s="1"/>
  <c r="N17" i="10"/>
  <c r="O17" i="10" s="1"/>
  <c r="N22" i="10"/>
  <c r="O22" i="10" s="1"/>
  <c r="N24" i="10"/>
  <c r="O24" i="10" s="1"/>
  <c r="N15" i="10"/>
  <c r="O15" i="10" s="1"/>
  <c r="N12" i="10"/>
  <c r="O12" i="10" s="1"/>
  <c r="N20" i="10"/>
  <c r="O20" i="10" s="1"/>
  <c r="N115" i="10"/>
  <c r="O115" i="10" s="1"/>
  <c r="N45" i="10"/>
  <c r="O45" i="10" s="1"/>
  <c r="N93" i="10"/>
  <c r="O93" i="10" s="1"/>
  <c r="N141" i="10"/>
  <c r="O141" i="10" s="1"/>
  <c r="N34" i="10"/>
  <c r="O34" i="10" s="1"/>
  <c r="N118" i="10"/>
  <c r="O118" i="10" s="1"/>
  <c r="N47" i="10"/>
  <c r="O47" i="10" s="1"/>
  <c r="N32" i="10"/>
  <c r="O32" i="10" s="1"/>
  <c r="N68" i="10"/>
  <c r="O68" i="10" s="1"/>
  <c r="N104" i="10"/>
  <c r="O104" i="10" s="1"/>
  <c r="N33" i="10"/>
  <c r="O33" i="10" s="1"/>
  <c r="N105" i="10"/>
  <c r="O105" i="10" s="1"/>
  <c r="N58" i="10"/>
  <c r="O58" i="10" s="1"/>
  <c r="N142" i="10"/>
  <c r="O142" i="10" s="1"/>
  <c r="N59" i="10"/>
  <c r="O59" i="10" s="1"/>
  <c r="N143" i="10"/>
  <c r="O143" i="10" s="1"/>
  <c r="N71" i="10"/>
  <c r="O71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95" i="10"/>
  <c r="O95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70" i="10"/>
  <c r="O70" i="10" s="1"/>
  <c r="N130" i="10"/>
  <c r="O130" i="10" s="1"/>
  <c r="N35" i="10"/>
  <c r="O35" i="10" s="1"/>
  <c r="N119" i="10"/>
  <c r="O119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4" i="10"/>
  <c r="O94" i="10" s="1"/>
  <c r="N83" i="10"/>
  <c r="O83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43" i="10"/>
  <c r="O43" i="10" s="1"/>
  <c r="N67" i="10"/>
  <c r="O67" i="10" s="1"/>
  <c r="N91" i="10"/>
  <c r="O91" i="10" s="1"/>
  <c r="N127" i="10"/>
  <c r="O127" i="10" s="1"/>
  <c r="N56" i="10"/>
  <c r="O56" i="10" s="1"/>
  <c r="N92" i="10"/>
  <c r="O92" i="10" s="1"/>
  <c r="N128" i="10"/>
  <c r="O128" i="10" s="1"/>
  <c r="N57" i="10"/>
  <c r="O57" i="10" s="1"/>
  <c r="N81" i="10"/>
  <c r="O81" i="10" s="1"/>
  <c r="N129" i="10"/>
  <c r="O129" i="10" s="1"/>
  <c r="N82" i="10"/>
  <c r="O82" i="10" s="1"/>
  <c r="N107" i="10"/>
  <c r="O107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31" i="10"/>
  <c r="O31" i="10" s="1"/>
  <c r="N55" i="10"/>
  <c r="O55" i="10" s="1"/>
  <c r="N79" i="10"/>
  <c r="O79" i="10" s="1"/>
  <c r="N103" i="10"/>
  <c r="O103" i="10" s="1"/>
  <c r="N139" i="10"/>
  <c r="O139" i="10" s="1"/>
  <c r="N44" i="10"/>
  <c r="O44" i="10" s="1"/>
  <c r="N80" i="10"/>
  <c r="O80" i="10" s="1"/>
  <c r="N116" i="10"/>
  <c r="O116" i="10" s="1"/>
  <c r="N140" i="10"/>
  <c r="O140" i="10" s="1"/>
  <c r="N69" i="10"/>
  <c r="O69" i="10" s="1"/>
  <c r="N117" i="10"/>
  <c r="O117" i="10" s="1"/>
  <c r="N46" i="10"/>
  <c r="O46" i="10" s="1"/>
  <c r="N106" i="10"/>
  <c r="O106" i="10" s="1"/>
  <c r="N131" i="10"/>
  <c r="O131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F8" i="7"/>
  <c r="F7" i="7"/>
  <c r="C15" i="7"/>
  <c r="E7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0" i="6" l="1"/>
  <c r="O10" i="6" s="1"/>
  <c r="N11" i="6"/>
  <c r="O11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<sst xmlns="http://schemas.openxmlformats.org/spreadsheetml/2006/main" count="13141" uniqueCount="5449">
  <si>
    <t>a</t>
    <phoneticPr fontId="10" type="noConversion"/>
  </si>
  <si>
    <t>b</t>
    <phoneticPr fontId="10" type="noConversion"/>
  </si>
  <si>
    <t>C</t>
    <phoneticPr fontId="10" type="noConversion"/>
  </si>
  <si>
    <t>E</t>
    <phoneticPr fontId="10" type="noConversion"/>
  </si>
  <si>
    <t>0.5-2m</t>
    <phoneticPr fontId="10" type="noConversion"/>
  </si>
  <si>
    <t>0.1-0.5m</t>
    <phoneticPr fontId="10" type="noConversion"/>
  </si>
  <si>
    <t>0-0.1m</t>
    <phoneticPr fontId="10" type="noConversion"/>
  </si>
  <si>
    <t>small colonies, broken mat</t>
    <phoneticPr fontId="10" type="noConversion"/>
  </si>
  <si>
    <t>large group, many plants</t>
    <phoneticPr fontId="10" type="noConversion"/>
  </si>
  <si>
    <t>small dense clumps</t>
    <phoneticPr fontId="10" type="noConversion"/>
  </si>
  <si>
    <t>growing singly</t>
    <phoneticPr fontId="10" type="noConversion"/>
  </si>
  <si>
    <t>Thatch:</t>
    <phoneticPr fontId="10" type="noConversion"/>
  </si>
  <si>
    <t>c</t>
    <phoneticPr fontId="10" type="noConversion"/>
  </si>
  <si>
    <t>i</t>
    <phoneticPr fontId="10" type="noConversion"/>
  </si>
  <si>
    <t>p</t>
    <phoneticPr fontId="10" type="noConversion"/>
  </si>
  <si>
    <t>r</t>
    <phoneticPr fontId="10" type="noConversion"/>
  </si>
  <si>
    <t>50-75%</t>
    <phoneticPr fontId="10" type="noConversion"/>
  </si>
  <si>
    <t>25-50%</t>
    <phoneticPr fontId="10" type="noConversion"/>
  </si>
  <si>
    <t>5-25%</t>
    <phoneticPr fontId="10" type="noConversion"/>
  </si>
  <si>
    <t>1-5%</t>
    <phoneticPr fontId="10" type="noConversion"/>
  </si>
  <si>
    <t>Extensive mat</t>
    <phoneticPr fontId="10" type="noConversion"/>
  </si>
  <si>
    <t>Abundance</t>
    <phoneticPr fontId="10" type="noConversion"/>
  </si>
  <si>
    <t>Group</t>
    <phoneticPr fontId="10" type="noConversion"/>
  </si>
  <si>
    <t>B</t>
    <phoneticPr fontId="10" type="noConversion"/>
  </si>
  <si>
    <t>D</t>
    <phoneticPr fontId="10" type="noConversion"/>
  </si>
  <si>
    <t>G</t>
    <phoneticPr fontId="10" type="noConversion"/>
  </si>
  <si>
    <t>H</t>
    <phoneticPr fontId="10" type="noConversion"/>
  </si>
  <si>
    <t>L</t>
    <phoneticPr fontId="10" type="noConversion"/>
  </si>
  <si>
    <t>K</t>
    <phoneticPr fontId="10" type="noConversion"/>
  </si>
  <si>
    <t>X</t>
    <phoneticPr fontId="10" type="noConversion"/>
  </si>
  <si>
    <t>Broadleaf evergreen</t>
    <phoneticPr fontId="10" type="noConversion"/>
  </si>
  <si>
    <t>Broadleaf deciduous</t>
    <phoneticPr fontId="10" type="noConversion"/>
  </si>
  <si>
    <t>Needleleaf evergreen</t>
    <phoneticPr fontId="10" type="noConversion"/>
  </si>
  <si>
    <t>Graminoids</t>
    <phoneticPr fontId="10" type="noConversion"/>
  </si>
  <si>
    <t>Forbs</t>
    <phoneticPr fontId="10" type="noConversion"/>
  </si>
  <si>
    <t>Lichens &amp; mosses</t>
    <phoneticPr fontId="10" type="noConversion"/>
  </si>
  <si>
    <t>Climbers</t>
    <phoneticPr fontId="10" type="noConversion"/>
  </si>
  <si>
    <t>Stem succulents</t>
    <phoneticPr fontId="10" type="noConversion"/>
  </si>
  <si>
    <t>Epiphytes</t>
    <phoneticPr fontId="10" type="noConversion"/>
  </si>
  <si>
    <t xml:space="preserve"> +</t>
    <phoneticPr fontId="10" type="noConversion"/>
  </si>
  <si>
    <t>&lt;5% cover, many individuals</t>
    <phoneticPr fontId="10" type="noConversion"/>
  </si>
  <si>
    <t>&lt;5% cover, few (2-20) individuals</t>
    <phoneticPr fontId="10" type="noConversion"/>
  </si>
  <si>
    <t>&lt;5% cover, single</t>
    <phoneticPr fontId="10" type="noConversion"/>
  </si>
  <si>
    <t>Life Form</t>
    <phoneticPr fontId="10" type="noConversion"/>
  </si>
  <si>
    <t>Height</t>
    <phoneticPr fontId="10" type="noConversion"/>
  </si>
  <si>
    <t>Sociability</t>
    <phoneticPr fontId="10" type="noConversion"/>
  </si>
  <si>
    <t>&gt;35m</t>
    <phoneticPr fontId="10" type="noConversion"/>
  </si>
  <si>
    <t>20-35m</t>
    <phoneticPr fontId="10" type="noConversion"/>
  </si>
  <si>
    <t>10-20m</t>
    <phoneticPr fontId="10" type="noConversion"/>
  </si>
  <si>
    <t>5-10m</t>
    <phoneticPr fontId="10" type="noConversion"/>
  </si>
  <si>
    <t>2-5m</t>
    <phoneticPr fontId="1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</si>
  <si>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</si>
  <si>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</si>
  <si>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</si>
  <si>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</si>
  <si>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</si>
  <si>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</si>
  <si>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</si>
  <si>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</si>
  <si>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</si>
  <si>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</si>
  <si>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</si>
  <si>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</si>
  <si>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</si>
  <si>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</si>
  <si>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</si>
  <si>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</si>
  <si>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</si>
  <si>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</si>
  <si>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</si>
  <si>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</si>
  <si>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</si>
  <si>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</si>
  <si>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</si>
  <si>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</si>
  <si>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</si>
  <si>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</si>
  <si>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</si>
  <si>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</si>
  <si>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</si>
  <si>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</si>
  <si>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</si>
  <si>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</si>
  <si>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</si>
  <si>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</si>
  <si>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</si>
  <si>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</si>
  <si>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</si>
  <si>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</si>
  <si>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</si>
  <si>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</si>
  <si>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</si>
  <si>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</si>
  <si>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</si>
  <si>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</si>
  <si>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</si>
  <si>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</si>
  <si>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</si>
  <si>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</si>
  <si>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</si>
  <si>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</si>
  <si>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</si>
  <si>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</si>
  <si>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</si>
  <si>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</si>
  <si>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</si>
  <si>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</si>
  <si>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</si>
  <si>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</si>
  <si>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</si>
  <si>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</si>
  <si>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</si>
  <si>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</si>
  <si>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</si>
  <si>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</si>
  <si>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</si>
  <si>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</si>
  <si>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</si>
  <si>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</si>
  <si>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</si>
  <si>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</si>
  <si>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</si>
  <si>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</si>
  <si>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</si>
  <si>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</si>
  <si>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</si>
  <si>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</si>
  <si>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</si>
  <si>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</si>
  <si>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</si>
  <si>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</si>
  <si>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</si>
  <si>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</si>
  <si>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</si>
  <si>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</si>
  <si>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</si>
  <si>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</si>
  <si>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</si>
  <si>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</si>
  <si>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</si>
  <si>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</si>
  <si>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</si>
  <si>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</si>
  <si>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</si>
  <si>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</si>
  <si>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</si>
  <si>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</si>
  <si>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</si>
  <si>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</si>
  <si>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</si>
  <si>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</si>
  <si>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</si>
  <si>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</si>
  <si>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</si>
  <si>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</si>
  <si>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</si>
  <si>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</si>
  <si>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</si>
  <si>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</si>
  <si>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</si>
  <si>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</si>
  <si>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</si>
  <si>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</si>
  <si>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</si>
  <si>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</si>
  <si>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</si>
  <si>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</si>
  <si>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</si>
  <si>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</si>
  <si>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</si>
  <si>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</si>
  <si>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</si>
  <si>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</si>
  <si>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</si>
  <si>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</si>
  <si>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</si>
  <si>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</si>
  <si>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</si>
  <si>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</si>
  <si>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</si>
  <si>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</si>
  <si>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</si>
  <si>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</si>
  <si>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</si>
  <si>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</si>
  <si>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</si>
  <si>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</si>
  <si>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</si>
  <si>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</si>
  <si>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</si>
  <si>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</si>
  <si>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</si>
  <si>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</si>
  <si>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</si>
  <si>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</si>
  <si>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</si>
  <si>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</si>
  <si>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</si>
  <si>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</si>
  <si>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</si>
  <si>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</si>
  <si>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</si>
  <si>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</si>
  <si>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</si>
  <si>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</si>
  <si>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</si>
  <si>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</si>
  <si>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</si>
  <si>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</si>
  <si>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</si>
  <si>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</si>
  <si>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</si>
  <si>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</si>
  <si>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</si>
  <si>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</si>
  <si>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</si>
  <si>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</si>
  <si>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</si>
  <si>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</si>
  <si>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</si>
  <si>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</si>
  <si>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</si>
  <si>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</si>
  <si>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</si>
  <si>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</si>
  <si>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</si>
  <si>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</si>
  <si>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</si>
  <si>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</si>
  <si>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</si>
  <si>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</si>
  <si>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</si>
  <si>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</si>
  <si>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</si>
  <si>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</si>
  <si>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</si>
  <si>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</si>
  <si>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</si>
  <si>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</si>
  <si>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</si>
  <si>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</si>
  <si>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</si>
  <si>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</si>
  <si>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</si>
  <si>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</si>
  <si>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</si>
  <si>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</si>
  <si>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</si>
  <si>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</si>
  <si>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</si>
  <si>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</si>
  <si>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</si>
  <si>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</si>
  <si>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</si>
  <si>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</si>
  <si>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</si>
  <si>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</si>
  <si>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</si>
  <si>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</si>
  <si>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</si>
  <si>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</si>
  <si>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</si>
  <si>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</si>
  <si>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</si>
  <si>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</si>
  <si>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</si>
  <si>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</si>
  <si>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</si>
  <si>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</si>
  <si>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</si>
  <si>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</si>
  <si>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</si>
  <si>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</si>
  <si>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</si>
  <si>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</si>
  <si>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</si>
  <si>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</si>
  <si>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</si>
  <si>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</si>
  <si>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</si>
  <si>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</si>
  <si>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</si>
  <si>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</si>
  <si>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</si>
  <si>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</si>
  <si>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</si>
  <si>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</si>
  <si>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</si>
  <si>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</si>
  <si>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</si>
  <si>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</si>
  <si>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</si>
  <si>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</si>
  <si>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</si>
  <si>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</si>
  <si>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</si>
  <si>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</si>
  <si>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</si>
  <si>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</si>
  <si>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</si>
  <si>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</si>
  <si>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</si>
  <si>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</si>
  <si>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</si>
  <si>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</si>
  <si>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</si>
  <si>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</si>
  <si>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</si>
  <si>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</si>
  <si>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</si>
  <si>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</si>
  <si>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</si>
  <si>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</si>
  <si>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</si>
  <si>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</si>
  <si>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</si>
  <si>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</si>
  <si>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</si>
  <si>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</si>
  <si>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</si>
  <si>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</si>
  <si>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</si>
  <si>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</si>
  <si>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</si>
  <si>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</si>
  <si>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</si>
  <si>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</si>
  <si>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</si>
  <si>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</si>
  <si>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</si>
  <si>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</si>
  <si>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</si>
  <si>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</si>
  <si>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</si>
  <si>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</si>
  <si>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</si>
  <si>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</si>
  <si>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</si>
  <si>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</si>
  <si>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</si>
  <si>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</si>
  <si>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</si>
  <si>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</si>
  <si>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</si>
  <si>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</si>
  <si>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</si>
  <si>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</si>
  <si>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</si>
  <si>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</si>
  <si>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</si>
  <si>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</si>
  <si>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</si>
  <si>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</si>
  <si>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</si>
  <si>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</si>
  <si>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</si>
  <si>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</si>
  <si>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</si>
  <si>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</si>
  <si>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</si>
  <si>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</si>
  <si>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</si>
  <si>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</si>
  <si>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</si>
  <si>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</si>
  <si>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</si>
  <si>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</si>
  <si>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</si>
  <si>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</si>
  <si>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</si>
  <si>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</si>
  <si>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</si>
  <si>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</si>
  <si>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</si>
  <si>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</si>
  <si>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</si>
  <si>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</si>
  <si>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</si>
  <si>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</si>
  <si>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</si>
  <si>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</si>
  <si>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</si>
  <si>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</si>
  <si>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</si>
  <si>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</si>
  <si>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</si>
  <si>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</si>
  <si>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</si>
  <si>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</si>
  <si>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</si>
  <si>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</si>
  <si>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</si>
  <si>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</si>
  <si>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</si>
  <si>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</si>
  <si>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</si>
  <si>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</si>
  <si>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</si>
  <si>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</si>
  <si>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</si>
  <si>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</si>
  <si>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</si>
  <si>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</si>
  <si>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</si>
  <si>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</si>
  <si>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</si>
  <si>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</si>
  <si>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</si>
  <si>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</si>
  <si>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</si>
  <si>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</si>
  <si>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</si>
  <si>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</si>
  <si>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</si>
  <si>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</si>
  <si>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</si>
  <si>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</si>
  <si>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</si>
  <si>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</si>
  <si>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</si>
  <si>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</si>
  <si>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</si>
  <si>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</si>
  <si>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</si>
  <si>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</si>
  <si>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</si>
  <si>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</si>
  <si>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</si>
  <si>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</si>
  <si>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</si>
  <si>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</si>
  <si>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</si>
  <si>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</si>
  <si>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</si>
  <si>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</si>
  <si>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</si>
  <si>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</si>
  <si>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</si>
  <si>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</si>
  <si>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</si>
  <si>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</si>
  <si>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</si>
  <si>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</si>
  <si>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</si>
  <si>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</si>
  <si>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</si>
  <si>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</si>
  <si>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</si>
  <si>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</si>
  <si>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</si>
  <si>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</si>
  <si>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</si>
  <si>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</si>
  <si>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</si>
  <si>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</si>
  <si>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</si>
  <si>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</si>
  <si>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</si>
  <si>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</si>
  <si>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</si>
  <si>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</si>
  <si>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</si>
  <si>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</si>
  <si>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</si>
  <si>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</si>
  <si>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</si>
  <si>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</si>
  <si>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</si>
  <si>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</si>
  <si>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</si>
  <si>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</si>
  <si>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</si>
  <si>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</si>
  <si>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</si>
  <si>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</si>
  <si>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</si>
  <si>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</si>
  <si>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</si>
  <si>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</si>
  <si>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</si>
  <si>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</si>
  <si>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</si>
  <si>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</si>
  <si>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</si>
  <si>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</si>
  <si>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</si>
  <si>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</si>
  <si>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</si>
  <si>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</si>
  <si>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</si>
  <si>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</si>
  <si>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</si>
  <si>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</si>
  <si>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</si>
  <si>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</si>
  <si>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</si>
  <si>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</si>
  <si>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</si>
  <si>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</si>
  <si>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</si>
  <si>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</si>
  <si>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</si>
  <si>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</si>
  <si>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</si>
  <si>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</si>
  <si>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</si>
  <si>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</si>
  <si>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</si>
  <si>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</si>
  <si>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</si>
  <si>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</si>
  <si>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</si>
  <si>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</si>
  <si>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</si>
  <si>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</si>
  <si>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</si>
  <si>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</si>
  <si>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</si>
  <si>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</si>
  <si>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</si>
  <si>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</si>
  <si>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</si>
  <si>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</si>
  <si>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</si>
  <si>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</si>
  <si>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</si>
  <si>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</si>
  <si>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</si>
  <si>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</si>
  <si>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</si>
  <si>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</si>
  <si>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</si>
  <si>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</si>
  <si>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</si>
  <si>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</si>
  <si>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</si>
  <si>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</si>
  <si>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</si>
  <si>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</si>
  <si>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</si>
  <si>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</si>
  <si>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</si>
  <si>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</si>
  <si>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</si>
  <si>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</si>
  <si>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</si>
  <si>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</si>
  <si>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</si>
  <si>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</si>
  <si>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</si>
  <si>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</si>
  <si>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</si>
  <si>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</si>
  <si>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</si>
  <si>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</si>
  <si>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</si>
  <si>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</si>
  <si>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</si>
  <si>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</si>
  <si>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</si>
  <si>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</si>
  <si>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</si>
  <si>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</si>
  <si>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</si>
  <si>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</si>
  <si>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</si>
  <si>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</si>
  <si>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</si>
  <si>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</si>
  <si>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</si>
  <si>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</si>
  <si>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</si>
  <si>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</si>
  <si>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</si>
  <si>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</si>
  <si>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</si>
  <si>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</si>
  <si>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</si>
  <si>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</si>
  <si>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</si>
  <si>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</si>
  <si>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</si>
  <si>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</si>
  <si>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</si>
  <si>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</si>
  <si>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</si>
  <si>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</si>
  <si>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</si>
  <si>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</si>
  <si>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</si>
  <si>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</si>
  <si>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</si>
  <si>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</si>
  <si>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</si>
  <si>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</si>
  <si>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</si>
  <si>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</si>
  <si>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</si>
  <si>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</si>
  <si>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</si>
  <si>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</si>
  <si>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</si>
  <si>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</si>
  <si>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</si>
  <si>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</si>
  <si>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</si>
  <si>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</si>
  <si>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</si>
  <si>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</si>
  <si>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</si>
  <si>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</si>
  <si>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</si>
  <si>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</si>
  <si>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</si>
  <si>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</si>
  <si>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</si>
  <si>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</si>
  <si>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</si>
  <si>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</si>
  <si>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</si>
  <si>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</si>
  <si>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</si>
  <si>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</si>
  <si>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</si>
  <si>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</si>
  <si>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</si>
  <si>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</si>
  <si>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</si>
  <si>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</si>
  <si>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</si>
  <si>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</si>
  <si>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</si>
  <si>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</si>
  <si>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</si>
  <si>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</si>
  <si>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</si>
  <si>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</si>
  <si>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</si>
  <si>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</si>
  <si>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</si>
  <si>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</si>
  <si>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</si>
  <si>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</si>
  <si>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</si>
  <si>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</si>
  <si>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</si>
  <si>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</si>
  <si>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</si>
  <si>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</si>
  <si>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</si>
  <si>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</si>
  <si>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</si>
  <si>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</si>
  <si>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</si>
  <si>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</si>
  <si>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</si>
  <si>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</si>
  <si>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</si>
  <si>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</si>
  <si>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</si>
  <si>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</si>
  <si>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</si>
  <si>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</si>
  <si>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</si>
  <si>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</si>
  <si>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</si>
  <si>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</si>
  <si>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</si>
  <si>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</si>
  <si>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</si>
  <si>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</si>
  <si>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</si>
  <si>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</si>
  <si>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</si>
  <si>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</si>
  <si>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</si>
  <si>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</si>
  <si>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</si>
  <si>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</si>
  <si>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</si>
  <si>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</si>
  <si>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</si>
  <si>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</si>
  <si>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</si>
  <si>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</si>
  <si>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</si>
  <si>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</si>
  <si>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</si>
  <si>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</si>
  <si>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</si>
  <si>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</si>
  <si>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</si>
  <si>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</si>
  <si>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</si>
  <si>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</si>
  <si>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</si>
  <si>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</si>
  <si>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</si>
  <si>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</si>
  <si>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</si>
  <si>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</si>
  <si>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</si>
  <si>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</si>
  <si>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</si>
  <si>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</si>
  <si>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</si>
  <si>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</si>
  <si>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</si>
  <si>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</si>
  <si>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</si>
  <si>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</si>
  <si>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</si>
  <si>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</si>
  <si>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</si>
  <si>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</si>
  <si>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</si>
  <si>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</si>
  <si>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</si>
  <si>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</si>
  <si>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</si>
  <si>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</si>
  <si>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</si>
  <si>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</si>
  <si>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</si>
  <si>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</si>
  <si>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</si>
  <si>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</si>
  <si>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</si>
  <si>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</si>
  <si>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</si>
  <si>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</si>
  <si>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</si>
  <si>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</si>
  <si>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</si>
  <si>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</si>
  <si>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</si>
  <si>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</si>
  <si>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</si>
  <si>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</si>
  <si>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</si>
  <si>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</si>
  <si>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</si>
  <si>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</si>
  <si>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</si>
  <si>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</si>
  <si>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</si>
  <si>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</si>
  <si>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</si>
  <si>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</si>
  <si>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</si>
  <si>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</si>
  <si>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</si>
  <si>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</si>
  <si>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</si>
  <si>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</si>
  <si>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</si>
  <si>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</si>
  <si>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</si>
  <si>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</si>
  <si>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</si>
  <si>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</si>
  <si>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</si>
  <si>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</si>
  <si>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</si>
  <si>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</si>
  <si>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</si>
  <si>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</si>
  <si>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</si>
  <si>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</si>
  <si>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</si>
  <si>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</si>
  <si>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</si>
  <si>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</si>
  <si>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</si>
  <si>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</si>
  <si>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</si>
  <si>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</si>
  <si>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</si>
  <si>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</si>
  <si>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</si>
  <si>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</si>
  <si>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</si>
  <si>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</si>
  <si>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</si>
  <si>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</si>
  <si>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</si>
  <si>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</si>
  <si>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</si>
  <si>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</si>
  <si>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</si>
  <si>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</si>
  <si>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</si>
  <si>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</si>
  <si>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</si>
  <si>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</si>
  <si>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</si>
  <si>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</si>
  <si>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</si>
  <si>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</si>
  <si>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</si>
  <si>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</si>
  <si>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</si>
  <si>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</si>
  <si>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</si>
  <si>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</si>
  <si>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</si>
  <si>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</si>
  <si>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</si>
  <si>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</si>
  <si>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</si>
  <si>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</si>
  <si>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</si>
  <si>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</si>
  <si>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</si>
  <si>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</si>
  <si>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</si>
  <si>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</si>
  <si>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</si>
  <si>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</si>
  <si>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</si>
  <si>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</si>
  <si>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</si>
  <si>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</si>
  <si>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</si>
  <si>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</si>
  <si>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</si>
  <si>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</si>
  <si>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</si>
  <si>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</si>
  <si>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</si>
  <si>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</si>
  <si>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</si>
  <si>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</si>
  <si>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</si>
  <si>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</si>
  <si>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</si>
  <si>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</si>
  <si>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</si>
  <si>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</si>
  <si>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</si>
  <si>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</si>
  <si>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</si>
  <si>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</si>
  <si>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</si>
  <si>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</si>
  <si>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</si>
  <si>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</si>
  <si>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</si>
  <si>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</si>
  <si>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</si>
  <si>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</si>
  <si>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</si>
  <si>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</si>
  <si>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</si>
  <si>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</si>
  <si>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</si>
  <si>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</si>
  <si>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</si>
  <si>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</si>
  <si>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</si>
  <si>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</si>
  <si>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</si>
  <si>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</si>
  <si>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</si>
  <si>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</si>
  <si>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</si>
  <si>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</si>
  <si>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</si>
  <si>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</si>
  <si>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</si>
  <si>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</si>
  <si>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</si>
  <si>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</si>
  <si>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</si>
  <si>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</si>
  <si>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</si>
  <si>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</si>
  <si>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</si>
  <si>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</si>
  <si>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</si>
  <si>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</si>
  <si>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</si>
  <si>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</si>
  <si>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</si>
  <si>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</si>
  <si>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</si>
  <si>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</si>
  <si>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</si>
  <si>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</si>
  <si>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</si>
  <si>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</si>
  <si>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</si>
  <si>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</si>
  <si>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</si>
  <si>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</si>
  <si>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</si>
  <si>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</si>
  <si>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</si>
  <si>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</si>
  <si>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</si>
  <si>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</si>
  <si>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</si>
  <si>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</si>
  <si>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</si>
  <si>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</si>
  <si>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</si>
  <si>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</si>
  <si>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</si>
  <si>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</si>
  <si>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</si>
  <si>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</si>
  <si>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</si>
  <si>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</si>
  <si>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</si>
  <si>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</si>
  <si>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</si>
  <si>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</si>
  <si>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</si>
  <si>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</si>
  <si>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</si>
  <si>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</si>
  <si>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</si>
  <si>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</si>
  <si>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</si>
  <si>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</si>
  <si>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</si>
  <si>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</si>
  <si>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</si>
  <si>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</si>
  <si>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</si>
  <si>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</si>
  <si>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</si>
  <si>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</si>
  <si>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</si>
  <si>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</si>
  <si>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</si>
  <si>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</si>
  <si>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</si>
  <si>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</si>
  <si>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</si>
  <si>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</si>
  <si>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</si>
  <si>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</si>
  <si>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</si>
  <si>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</si>
  <si>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</si>
  <si>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</si>
  <si>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</si>
  <si>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</si>
  <si>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</si>
  <si>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</si>
  <si>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</si>
  <si>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</si>
  <si>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</si>
  <si>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</si>
  <si>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</si>
  <si>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</si>
  <si>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</si>
  <si>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</si>
  <si>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</si>
  <si>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</si>
  <si>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</si>
  <si>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</si>
  <si>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</si>
  <si>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</si>
  <si>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</si>
  <si>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</si>
  <si>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</si>
  <si>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</si>
  <si>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</si>
  <si>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</si>
  <si>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</si>
  <si>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</si>
  <si>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</si>
  <si>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</si>
  <si>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</si>
  <si>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</si>
  <si>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</si>
  <si>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</si>
  <si>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</si>
  <si>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</si>
  <si>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</si>
  <si>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</si>
  <si>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</si>
  <si>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</si>
  <si>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</si>
  <si>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</si>
  <si>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</si>
  <si>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</si>
  <si>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</si>
  <si>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</si>
  <si>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</si>
  <si>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</si>
  <si>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</si>
  <si>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</si>
  <si>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</si>
  <si>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</si>
  <si>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</si>
  <si>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</si>
  <si>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</si>
  <si>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</si>
  <si>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</si>
  <si>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</si>
  <si>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</si>
  <si>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</si>
  <si>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</si>
  <si>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</si>
  <si>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</si>
  <si>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</si>
  <si>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</si>
  <si>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</si>
  <si>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</si>
  <si>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</si>
  <si>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</si>
  <si>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</si>
  <si>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</si>
  <si>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</si>
  <si>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</si>
  <si>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</si>
  <si>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</si>
  <si>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</si>
  <si>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</si>
  <si>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</si>
  <si>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</si>
  <si>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</si>
  <si>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</si>
  <si>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</si>
  <si>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</si>
  <si>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</si>
  <si>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</si>
  <si>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</si>
  <si>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</si>
  <si>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</si>
  <si>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</si>
  <si>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</si>
  <si>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</si>
  <si>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</si>
  <si>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</si>
  <si>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</si>
  <si>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</si>
  <si>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</si>
  <si>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</si>
  <si>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</si>
  <si>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</si>
  <si>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</si>
  <si>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</si>
  <si>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</si>
  <si>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</si>
  <si>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</si>
  <si>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</si>
  <si>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</si>
  <si>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</si>
  <si>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</si>
  <si>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</si>
  <si>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</si>
  <si>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</si>
  <si>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</si>
  <si>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</si>
  <si>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</si>
  <si>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</si>
  <si>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</si>
  <si>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</si>
  <si>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</si>
  <si>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</si>
  <si>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</si>
  <si>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</si>
  <si>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</si>
  <si>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</si>
  <si>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</si>
  <si>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</si>
  <si>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</si>
  <si>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</si>
  <si>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</si>
  <si>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</si>
  <si>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</si>
  <si>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</si>
  <si>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</si>
  <si>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</si>
  <si>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</si>
  <si>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</si>
  <si>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</si>
  <si>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</si>
  <si>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</si>
  <si>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</si>
  <si>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</si>
  <si>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</si>
  <si>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</si>
  <si>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</si>
  <si>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</si>
  <si>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</si>
  <si>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</si>
  <si>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</si>
  <si>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</si>
  <si>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</si>
  <si>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</si>
  <si>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</si>
  <si>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</si>
  <si>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</si>
  <si>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</si>
  <si>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</si>
  <si>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</si>
  <si>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</si>
  <si>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</si>
  <si>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</si>
  <si>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</si>
  <si>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</si>
  <si>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</si>
  <si>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</si>
  <si>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</si>
  <si>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</si>
  <si>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</si>
  <si>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</si>
  <si>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</si>
  <si>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</si>
  <si>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</si>
  <si>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</si>
  <si>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</si>
  <si>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</si>
  <si>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</si>
  <si>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</si>
  <si>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</si>
  <si>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</si>
  <si>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</si>
  <si>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</si>
  <si>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</si>
  <si>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</si>
  <si>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</si>
  <si>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</si>
  <si>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</si>
  <si>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</si>
  <si>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</si>
  <si>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</si>
  <si>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</si>
  <si>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</si>
  <si>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</si>
  <si>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</si>
  <si>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</si>
  <si>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</si>
  <si>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</si>
  <si>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</si>
  <si>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</si>
  <si>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</si>
  <si>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</si>
  <si>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</si>
  <si>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</si>
  <si>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</si>
  <si>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</si>
  <si>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</si>
  <si>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</si>
  <si>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</si>
  <si>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</si>
  <si>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</si>
  <si>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</si>
  <si>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</si>
  <si>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</si>
  <si>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</si>
  <si>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</si>
  <si>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</si>
  <si>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</si>
  <si>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</si>
  <si>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</si>
  <si>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</si>
  <si>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</si>
  <si>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</si>
  <si>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</si>
  <si>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</si>
  <si>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</si>
  <si>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</si>
  <si>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</si>
  <si>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</si>
  <si>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</si>
  <si>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</si>
  <si>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</si>
  <si>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</si>
  <si>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</si>
  <si>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</si>
  <si>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</si>
  <si>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</si>
  <si>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</si>
  <si>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</si>
  <si>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</si>
  <si>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</si>
  <si>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</si>
  <si>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</si>
  <si>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</si>
  <si>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</si>
  <si>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</si>
  <si>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</si>
  <si>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</si>
  <si>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</si>
  <si>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</si>
  <si>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</si>
  <si>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</si>
  <si>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</si>
  <si>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</si>
  <si>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</si>
  <si>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</si>
  <si>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</si>
  <si>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</si>
  <si>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</si>
  <si>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</si>
  <si>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</si>
  <si>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</si>
  <si>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</si>
  <si>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</si>
  <si>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</si>
  <si>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</si>
  <si>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</si>
  <si>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</si>
  <si>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</si>
  <si>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</si>
  <si>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</si>
  <si>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</si>
  <si>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</si>
  <si>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</si>
  <si>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</si>
  <si>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</si>
  <si>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</si>
  <si>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</si>
  <si>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</si>
  <si>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</si>
  <si>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</si>
  <si>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</si>
  <si>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</si>
  <si>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</si>
  <si>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</si>
  <si>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</si>
  <si>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</si>
  <si>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</si>
  <si>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</si>
  <si>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</si>
  <si>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</si>
  <si>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</si>
  <si>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</si>
  <si>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</si>
  <si>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</si>
  <si>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</si>
  <si>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</si>
  <si>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</si>
  <si>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</si>
  <si>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</si>
  <si>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</si>
  <si>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</si>
  <si>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</si>
  <si>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</si>
  <si>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</si>
  <si>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</si>
  <si>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</si>
  <si>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</si>
  <si>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</si>
  <si>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</si>
  <si>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</si>
  <si>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</si>
  <si>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</si>
  <si>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</si>
  <si>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</si>
  <si>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</si>
  <si>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</si>
  <si>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</si>
  <si>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</si>
  <si>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</si>
  <si>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</si>
  <si>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</si>
  <si>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</si>
  <si>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</si>
  <si>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</si>
  <si>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</si>
  <si>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</si>
  <si>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</si>
  <si>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</si>
  <si>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</si>
  <si>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</si>
  <si>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</si>
  <si>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</si>
  <si>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</si>
  <si>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</si>
  <si>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</si>
  <si>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</si>
  <si>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</si>
  <si>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</si>
  <si>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</si>
  <si>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</si>
  <si>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</si>
  <si>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</si>
  <si>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</si>
  <si>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</si>
  <si>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</si>
  <si>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</si>
  <si>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</si>
  <si>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</si>
  <si>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</si>
  <si>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</si>
  <si>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</si>
  <si>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</si>
  <si>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</si>
  <si>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</si>
  <si>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</si>
  <si>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</si>
  <si>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</si>
  <si>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</si>
  <si>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</si>
  <si>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</si>
  <si>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</si>
  <si>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</si>
  <si>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</si>
  <si>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</si>
  <si>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</si>
  <si>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</si>
  <si>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</si>
  <si>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</si>
  <si>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</si>
  <si>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</si>
  <si>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</si>
  <si>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</si>
  <si>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</si>
  <si>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</si>
  <si>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</si>
  <si>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</si>
  <si>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</si>
  <si>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</si>
  <si>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</si>
  <si>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</si>
  <si>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</si>
  <si>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</si>
  <si>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</si>
  <si>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</si>
  <si>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</si>
  <si>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</si>
  <si>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</si>
  <si>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</si>
  <si>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</si>
  <si>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</si>
  <si>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</si>
  <si>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</si>
  <si>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</si>
  <si>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</si>
  <si>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</si>
  <si>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</si>
  <si>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</si>
  <si>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</si>
  <si>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</si>
  <si>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</si>
  <si>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</si>
  <si>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</si>
  <si>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</si>
  <si>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</si>
  <si>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</si>
  <si>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</si>
  <si>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</si>
  <si>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</si>
  <si>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</si>
  <si>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</si>
  <si>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</si>
  <si>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</si>
  <si>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</si>
  <si>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</si>
  <si>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</si>
  <si>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</si>
  <si>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</si>
  <si>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</si>
  <si>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</si>
  <si>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</si>
  <si>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</si>
  <si>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</si>
  <si>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</si>
  <si>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</si>
  <si>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</si>
  <si>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</si>
  <si>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</si>
  <si>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</si>
  <si>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</si>
  <si>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</si>
  <si>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</si>
  <si>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</si>
  <si>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</si>
  <si>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</si>
  <si>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</si>
  <si>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</si>
  <si>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</si>
  <si>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</si>
  <si>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</si>
  <si>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</si>
  <si>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</si>
  <si>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</si>
  <si>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</si>
  <si>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</si>
  <si>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</si>
  <si>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</si>
  <si>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</si>
  <si>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</si>
  <si>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</si>
  <si>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</si>
  <si>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</si>
  <si>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</si>
  <si>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</si>
  <si>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</si>
  <si>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</si>
  <si>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</si>
  <si>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</si>
  <si>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</si>
  <si>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</si>
  <si>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</si>
  <si>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</si>
  <si>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</si>
  <si>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</si>
  <si>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</si>
  <si>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</si>
  <si>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</si>
  <si>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</si>
  <si>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</si>
  <si>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</si>
  <si>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</si>
  <si>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</si>
  <si>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</si>
  <si>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</si>
  <si>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</si>
  <si>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</si>
  <si>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</si>
  <si>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</si>
  <si>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</si>
  <si>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</si>
  <si>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</si>
  <si>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</si>
  <si>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</si>
  <si>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</si>
  <si>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</si>
  <si>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</si>
  <si>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</si>
  <si>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</si>
  <si>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</si>
  <si>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</si>
  <si>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</si>
  <si>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</si>
  <si>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</si>
  <si>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</si>
  <si>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</si>
  <si>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</si>
  <si>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</si>
  <si>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</si>
  <si>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</si>
  <si>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</si>
  <si>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</si>
  <si>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</si>
  <si>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</si>
  <si>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</si>
  <si>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</si>
  <si>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</si>
  <si>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</si>
  <si>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</si>
  <si>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</si>
  <si>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</si>
  <si>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</si>
  <si>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</si>
  <si>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</si>
  <si>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</si>
  <si>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</si>
  <si>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</si>
  <si>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</si>
  <si>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</si>
  <si>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</si>
  <si>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</si>
  <si>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</si>
  <si>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</si>
  <si>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</si>
  <si>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</si>
  <si>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</si>
  <si>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</si>
  <si>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</si>
  <si>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</si>
  <si>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</si>
  <si>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</si>
  <si>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</si>
  <si>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</si>
  <si>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</si>
  <si>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</si>
  <si>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</si>
  <si>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</si>
  <si>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</si>
  <si>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</si>
  <si>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</si>
  <si>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</si>
  <si>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</si>
  <si>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</si>
  <si>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</si>
  <si>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</si>
  <si>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</si>
  <si>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</si>
  <si>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</si>
  <si>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</si>
  <si>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</si>
  <si>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</si>
  <si>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</si>
  <si>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</si>
  <si>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</si>
  <si>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</si>
  <si>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</si>
  <si>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</si>
  <si>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</si>
  <si>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</si>
  <si>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</si>
  <si>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</si>
  <si>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</si>
  <si>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</si>
  <si>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</si>
  <si>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</si>
  <si>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</si>
  <si>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</si>
  <si>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</si>
  <si>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</si>
  <si>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</si>
  <si>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</si>
  <si>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</si>
  <si>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</si>
  <si>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</si>
  <si>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</si>
  <si>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</si>
  <si>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</si>
  <si>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</si>
  <si>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</si>
  <si>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</si>
  <si>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</si>
  <si>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</si>
  <si>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</si>
  <si>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</si>
  <si>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</si>
  <si>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</si>
  <si>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</si>
  <si>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</si>
  <si>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</si>
  <si>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</si>
  <si>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</si>
  <si>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</si>
  <si>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</si>
  <si>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</si>
  <si>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</si>
  <si>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</si>
  <si>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</si>
  <si>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</si>
  <si>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</si>
  <si>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</si>
  <si>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</si>
  <si>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</si>
  <si>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</si>
  <si>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</si>
  <si>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</si>
  <si>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</si>
  <si>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</si>
  <si>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</si>
  <si>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</si>
  <si>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</si>
  <si>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</si>
  <si>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</si>
  <si>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</si>
  <si>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</si>
  <si>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</si>
  <si>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</si>
  <si>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</si>
  <si>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</si>
  <si>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</si>
  <si>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</si>
  <si>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</si>
  <si>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</si>
  <si>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</si>
  <si>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</si>
  <si>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</si>
  <si>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</si>
  <si>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</si>
  <si>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</si>
  <si>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</si>
  <si>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</si>
  <si>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</si>
  <si>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</si>
  <si>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</si>
  <si>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</si>
  <si>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</si>
  <si>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</si>
  <si>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</si>
  <si>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</si>
  <si>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</si>
  <si>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</si>
  <si>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</si>
  <si>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</si>
  <si>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</si>
  <si>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</si>
  <si>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</si>
  <si>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</si>
  <si>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</si>
  <si>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</si>
  <si>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</si>
  <si>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</si>
  <si>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</si>
  <si>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</si>
  <si>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</si>
  <si>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</si>
  <si>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</si>
  <si>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</si>
  <si>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</si>
  <si>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</si>
  <si>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</si>
  <si>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</si>
  <si>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</si>
  <si>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</si>
  <si>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</si>
  <si>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</si>
  <si>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</si>
  <si>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</si>
  <si>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</si>
  <si>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</si>
  <si>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</si>
  <si>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</si>
  <si>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</si>
  <si>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</si>
  <si>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</si>
  <si>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</si>
  <si>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</si>
  <si>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</si>
  <si>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</si>
  <si>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</si>
  <si>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</si>
  <si>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</si>
  <si>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</si>
  <si>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</si>
  <si>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</si>
  <si>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</si>
  <si>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</si>
  <si>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</si>
  <si>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</si>
  <si>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</si>
  <si>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</si>
  <si>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</si>
  <si>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</si>
  <si>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</si>
  <si>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</si>
  <si>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</si>
  <si>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</si>
  <si>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</si>
  <si>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</si>
  <si>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</si>
  <si>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</si>
  <si>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</si>
  <si>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</si>
  <si>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</si>
  <si>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</si>
  <si>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</si>
  <si>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</si>
  <si>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</si>
  <si>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</si>
  <si>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</si>
  <si>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</si>
  <si>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</si>
  <si>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</si>
  <si>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</si>
  <si>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</si>
  <si>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</si>
  <si>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</si>
  <si>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</si>
  <si>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</si>
  <si>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</si>
  <si>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</si>
  <si>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</si>
  <si>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</si>
  <si>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</si>
  <si>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</si>
  <si>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</si>
  <si>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</si>
  <si>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</si>
  <si>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</si>
  <si>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</si>
  <si>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</si>
  <si>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</si>
  <si>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</si>
  <si>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</si>
  <si>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</si>
  <si>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</si>
  <si>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</si>
  <si>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</si>
  <si>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</si>
  <si>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</si>
  <si>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</si>
  <si>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</si>
  <si>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</si>
  <si>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</si>
  <si>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</si>
  <si>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</si>
  <si>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</si>
  <si>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</si>
  <si>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</si>
  <si>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</si>
  <si>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</si>
  <si>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</si>
  <si>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</si>
  <si>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</si>
  <si>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</si>
  <si>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</si>
  <si>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</si>
  <si>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</si>
  <si>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</si>
  <si>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</si>
  <si>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</si>
  <si>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</si>
  <si>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</si>
  <si>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</si>
  <si>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</si>
  <si>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</si>
  <si>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</si>
  <si>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</si>
  <si>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</si>
  <si>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</si>
  <si>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</si>
  <si>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</si>
  <si>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</si>
  <si>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</si>
  <si>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</si>
  <si>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</si>
  <si>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</si>
  <si>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</si>
  <si>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</si>
  <si>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</si>
  <si>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</si>
  <si>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</si>
  <si>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</si>
  <si>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</si>
  <si>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</si>
  <si>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</si>
  <si>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</si>
  <si>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</si>
  <si>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</si>
  <si>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</si>
  <si>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</si>
  <si>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</si>
  <si>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</si>
  <si>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</si>
  <si>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</si>
  <si>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</si>
  <si>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</si>
  <si>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</si>
  <si>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</si>
  <si>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</si>
  <si>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</si>
  <si>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</si>
  <si>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</si>
  <si>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</si>
  <si>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</si>
  <si>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</si>
  <si>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</si>
  <si>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</si>
  <si>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</si>
  <si>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</si>
  <si>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</si>
  <si>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</si>
  <si>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</si>
  <si>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</si>
  <si>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</si>
  <si>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</si>
  <si>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</si>
  <si>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</si>
  <si>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</si>
  <si>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</si>
  <si>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</si>
  <si>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</si>
  <si>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</si>
  <si>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</si>
  <si>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</si>
  <si>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</si>
  <si>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</si>
  <si>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</si>
  <si>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</si>
  <si>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</si>
  <si>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</si>
  <si>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</si>
  <si>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</si>
  <si>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</si>
  <si>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</si>
  <si>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</si>
  <si>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</si>
  <si>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</si>
  <si>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</si>
  <si>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</si>
  <si>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</si>
  <si>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</si>
  <si>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</si>
  <si>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</si>
  <si>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</si>
  <si>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</si>
  <si>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</si>
  <si>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</si>
  <si>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</si>
  <si>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</si>
  <si>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</si>
  <si>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</si>
  <si>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</si>
  <si>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</si>
  <si>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</si>
  <si>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</si>
  <si>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</si>
  <si>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</si>
  <si>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</si>
  <si>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</si>
  <si>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</si>
  <si>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</si>
  <si>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</si>
  <si>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</si>
  <si>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</si>
  <si>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</si>
  <si>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</si>
  <si>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</si>
  <si>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</si>
  <si>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</si>
  <si>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</si>
  <si>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</si>
  <si>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</si>
  <si>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</si>
  <si>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</si>
  <si>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</si>
  <si>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</si>
  <si>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</si>
  <si>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</si>
  <si>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</si>
  <si>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</si>
  <si>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</si>
  <si>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</si>
  <si>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</si>
  <si>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</si>
  <si>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</si>
  <si>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</si>
  <si>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</si>
  <si>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</si>
  <si>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</si>
  <si>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</si>
  <si>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</si>
  <si>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</si>
  <si>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</si>
  <si>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</si>
  <si>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</si>
  <si>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</si>
  <si>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</si>
  <si>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</si>
  <si>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</si>
  <si>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</si>
  <si>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</si>
  <si>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</si>
  <si>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</si>
  <si>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</si>
  <si>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</si>
  <si>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</si>
  <si>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</si>
  <si>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</si>
  <si>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</si>
  <si>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</si>
  <si>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</si>
  <si>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</si>
  <si>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</si>
  <si>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</si>
  <si>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</si>
  <si>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</si>
  <si>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</si>
  <si>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</si>
  <si>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</si>
  <si>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</si>
  <si>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</si>
  <si>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</si>
  <si>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</si>
  <si>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</si>
  <si>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</si>
  <si>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</si>
  <si>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</si>
  <si>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</si>
  <si>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</si>
  <si>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</si>
  <si>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</si>
  <si>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</si>
  <si>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</si>
  <si>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</si>
  <si>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</si>
  <si>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</si>
  <si>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</si>
  <si>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</si>
  <si>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</si>
  <si>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</si>
  <si>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</si>
  <si>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</si>
  <si>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</si>
  <si>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</si>
  <si>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</si>
  <si>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</si>
  <si>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</si>
  <si>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</si>
  <si>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</si>
  <si>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</si>
  <si>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</si>
  <si>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</si>
  <si>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</si>
  <si>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</si>
  <si>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</si>
  <si>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</si>
  <si>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</si>
  <si>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</si>
  <si>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</si>
  <si>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</si>
  <si>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</si>
  <si>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</si>
  <si>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</si>
  <si>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</si>
  <si>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</si>
  <si>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</si>
  <si>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</si>
  <si>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</si>
  <si>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</si>
  <si>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</si>
  <si>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</si>
  <si>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</si>
  <si>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</si>
  <si>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</si>
  <si>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</si>
  <si>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</si>
  <si>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</si>
  <si>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</si>
  <si>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</si>
  <si>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</si>
  <si>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</si>
  <si>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</si>
  <si>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</si>
  <si>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</si>
  <si>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</si>
  <si>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</si>
  <si>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</si>
  <si>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</si>
  <si>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</si>
  <si>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</si>
  <si>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</si>
  <si>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</si>
  <si>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</si>
  <si>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</si>
  <si>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</si>
  <si>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</si>
  <si>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</si>
  <si>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</si>
  <si>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</si>
  <si>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</si>
  <si>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</si>
  <si>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</si>
  <si>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</si>
  <si>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</si>
  <si>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</si>
  <si>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</si>
  <si>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</si>
  <si>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</si>
  <si>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</si>
  <si>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</si>
  <si>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</si>
  <si>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</si>
  <si>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</si>
  <si>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</si>
  <si>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</si>
  <si>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</si>
  <si>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</si>
  <si>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</si>
  <si>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</si>
  <si>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</si>
  <si>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</si>
  <si>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</si>
  <si>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</si>
  <si>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</si>
  <si>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</si>
  <si>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</si>
  <si>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</si>
  <si>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</si>
  <si>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</si>
  <si>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</si>
  <si>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</si>
  <si>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</si>
  <si>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</si>
  <si>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</si>
  <si>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</si>
  <si>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</si>
  <si>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</si>
  <si>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</si>
  <si>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</si>
  <si>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</si>
  <si>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</si>
  <si>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</si>
  <si>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</si>
  <si>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</si>
  <si>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</si>
  <si>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</si>
  <si>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</si>
  <si>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</si>
  <si>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</si>
  <si>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</si>
  <si>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</si>
  <si>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</si>
  <si>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</si>
  <si>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</si>
  <si>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</si>
  <si>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</si>
  <si>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</si>
  <si>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</si>
  <si>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</si>
  <si>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</si>
  <si>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</si>
  <si>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</si>
  <si>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</si>
  <si>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</si>
  <si>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</si>
  <si>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</si>
  <si>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</si>
  <si>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</si>
  <si>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</si>
  <si>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</si>
  <si>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</si>
  <si>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</si>
  <si>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</si>
  <si>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</si>
  <si>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</si>
  <si>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</si>
  <si>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</si>
  <si>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</si>
  <si>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</si>
  <si>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</si>
  <si>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</si>
  <si>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</si>
  <si>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</si>
  <si>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</si>
  <si>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</si>
  <si>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</si>
  <si>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</si>
  <si>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</si>
  <si>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</si>
  <si>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</si>
  <si>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</si>
  <si>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</si>
  <si>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</si>
  <si>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</si>
  <si>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</si>
  <si>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</si>
  <si>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</si>
  <si>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</si>
  <si>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</si>
  <si>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</si>
  <si>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</si>
  <si>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</si>
  <si>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</si>
  <si>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</si>
  <si>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</si>
  <si>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</si>
  <si>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</si>
  <si>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</si>
  <si>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</si>
  <si>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</si>
  <si>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</si>
  <si>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</si>
  <si>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</si>
  <si>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</si>
  <si>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</si>
  <si>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</si>
  <si>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</si>
  <si>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</si>
  <si>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</si>
  <si>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</si>
  <si>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</si>
  <si>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</si>
  <si>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</si>
  <si>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</si>
  <si>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</si>
  <si>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</si>
  <si>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</si>
  <si>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</si>
  <si>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</si>
  <si>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</si>
  <si>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</si>
  <si>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</si>
  <si>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</si>
  <si>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</si>
  <si>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</si>
  <si>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</si>
  <si>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</si>
  <si>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</si>
  <si>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</si>
  <si>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</si>
  <si>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</si>
  <si>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</si>
  <si>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</si>
  <si>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</si>
  <si>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</si>
  <si>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</si>
  <si>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</si>
  <si>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</si>
  <si>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</si>
  <si>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</si>
  <si>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</si>
  <si>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</si>
  <si>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</si>
  <si>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</si>
  <si>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</si>
  <si>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</si>
  <si>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</si>
  <si>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</si>
  <si>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</si>
  <si>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</si>
  <si>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</si>
  <si>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</si>
  <si>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</si>
  <si>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</si>
  <si>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</si>
  <si>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</si>
  <si>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</si>
  <si>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</si>
  <si>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</si>
  <si>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</si>
  <si>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</si>
  <si>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</si>
  <si>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</si>
  <si>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</si>
  <si>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</si>
  <si>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</si>
  <si>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</si>
  <si>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</si>
  <si>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</si>
  <si>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</si>
  <si>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</si>
  <si>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</si>
  <si>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</si>
  <si>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</si>
  <si>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</si>
  <si>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</si>
  <si>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</si>
  <si>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</si>
  <si>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</si>
  <si>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</si>
  <si>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</si>
  <si>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</si>
  <si>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</si>
  <si>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</si>
  <si>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</si>
  <si>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</si>
  <si>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</si>
  <si>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</si>
  <si>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</si>
  <si>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</si>
  <si>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</si>
  <si>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</si>
  <si>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</si>
  <si>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</si>
  <si>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</si>
  <si>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</si>
  <si>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</si>
  <si>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</si>
  <si>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</si>
  <si>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</si>
  <si>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</si>
  <si>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</si>
  <si>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</si>
  <si>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</si>
  <si>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</si>
  <si>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</si>
  <si>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</si>
  <si>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</si>
  <si>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</si>
  <si>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</si>
  <si>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</si>
  <si>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</si>
  <si>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</si>
  <si>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</si>
  <si>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</si>
  <si>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</si>
  <si>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</si>
  <si>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</si>
  <si>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</si>
  <si>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</si>
  <si>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</si>
  <si>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</si>
  <si>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</si>
  <si>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</si>
  <si>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</si>
  <si>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</si>
  <si>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</si>
  <si>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</si>
  <si>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</si>
  <si>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</si>
  <si>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</si>
  <si>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</si>
  <si>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</si>
  <si>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</si>
  <si>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</si>
  <si>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</si>
  <si>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</si>
  <si>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</si>
  <si>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</si>
  <si>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</si>
  <si>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</si>
  <si>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</si>
  <si>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</si>
  <si>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</si>
  <si>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</si>
  <si>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</si>
  <si>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</si>
  <si>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</si>
  <si>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</si>
  <si>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</si>
  <si>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</si>
  <si>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</si>
  <si>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</si>
  <si>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</si>
  <si>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</si>
  <si>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</si>
  <si>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</si>
  <si>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</si>
  <si>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</si>
  <si>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</si>
  <si>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</si>
  <si>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</si>
  <si>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</si>
  <si>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</si>
  <si>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</si>
  <si>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</si>
  <si>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</si>
  <si>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</si>
  <si>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</si>
  <si>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</si>
  <si>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</si>
  <si>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</si>
  <si>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</si>
  <si>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</si>
  <si>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</si>
  <si>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</si>
  <si>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</si>
  <si>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</si>
  <si>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</si>
  <si>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</si>
  <si>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</si>
  <si>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</si>
  <si>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</si>
  <si>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</si>
  <si>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</si>
  <si>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</si>
  <si>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</si>
  <si>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</si>
  <si>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</si>
  <si>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</si>
  <si>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</si>
  <si>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</si>
  <si>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</si>
  <si>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</si>
  <si>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</si>
  <si>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</si>
  <si>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</si>
  <si>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</si>
  <si>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</si>
  <si>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</si>
  <si>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</si>
  <si>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</si>
  <si>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</si>
  <si>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</si>
  <si>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</si>
  <si>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</si>
  <si>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</si>
  <si>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</si>
  <si>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</si>
  <si>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</si>
  <si>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</si>
  <si>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</si>
  <si>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</si>
  <si>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</si>
  <si>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</si>
  <si>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</si>
  <si>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</si>
  <si>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</si>
  <si>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</si>
  <si>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</si>
  <si>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</si>
  <si>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</si>
  <si>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</si>
  <si>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</si>
  <si>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</si>
  <si>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</si>
  <si>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</si>
  <si>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</si>
  <si>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</si>
  <si>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</si>
  <si>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</si>
  <si>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</si>
  <si>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</si>
  <si>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</si>
  <si>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</si>
  <si>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</si>
  <si>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</si>
  <si>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</si>
  <si>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</si>
  <si>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</si>
  <si>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</si>
  <si>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</si>
  <si>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</si>
  <si>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</si>
  <si>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</si>
  <si>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</si>
  <si>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</si>
  <si>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</si>
  <si>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</si>
  <si>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</si>
  <si>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</si>
  <si>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</si>
  <si>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</si>
  <si>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</si>
  <si>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</si>
  <si>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</si>
  <si>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</si>
  <si>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</si>
  <si>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</si>
  <si>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</si>
  <si>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</si>
  <si>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</si>
  <si>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</si>
  <si>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</si>
  <si>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</si>
  <si>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</si>
  <si>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</si>
  <si>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</si>
  <si>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</si>
  <si>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</si>
  <si>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</si>
  <si>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</si>
  <si>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</si>
  <si>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</si>
  <si>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</si>
  <si>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</si>
  <si>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</si>
  <si>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</si>
  <si>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</si>
  <si>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</si>
  <si>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</si>
  <si>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</si>
  <si>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</si>
  <si>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</si>
  <si>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</si>
  <si>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</si>
  <si>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</si>
  <si>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</si>
  <si>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</si>
  <si>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</si>
  <si>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</si>
  <si>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</si>
  <si>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</si>
  <si>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</si>
  <si>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</si>
  <si>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</si>
  <si>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</si>
  <si>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</si>
  <si>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</si>
  <si>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</si>
  <si>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</si>
  <si>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</si>
  <si>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</si>
  <si>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</si>
  <si>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</si>
  <si>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</si>
  <si>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</si>
  <si>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</si>
  <si>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</si>
  <si>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</si>
  <si>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</si>
  <si>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</si>
  <si>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</si>
  <si>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</si>
  <si>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</si>
  <si>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</si>
  <si>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</si>
  <si>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</si>
  <si>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</si>
  <si>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</si>
  <si>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</si>
  <si>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</si>
  <si>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</si>
  <si>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</si>
  <si>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</si>
  <si>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</si>
  <si>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</si>
  <si>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</si>
  <si>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</si>
  <si>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</si>
  <si>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</si>
  <si>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</si>
  <si>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</si>
  <si>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</si>
  <si>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</si>
  <si>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</si>
  <si>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</si>
  <si>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</si>
  <si>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</si>
  <si>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</si>
  <si>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</si>
  <si>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</si>
  <si>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</si>
  <si>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</si>
  <si>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</si>
  <si>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</si>
  <si>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</si>
  <si>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</si>
  <si>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</si>
  <si>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</si>
  <si>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</si>
  <si>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</si>
  <si>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</si>
  <si>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</si>
  <si>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</si>
  <si>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</si>
  <si>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</si>
  <si>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</si>
  <si>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</si>
  <si>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</si>
  <si>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</si>
  <si>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</si>
  <si>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</si>
  <si>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</si>
  <si>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</si>
  <si>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</si>
  <si>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</si>
  <si>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</si>
  <si>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</si>
  <si>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</si>
  <si>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</si>
  <si>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</si>
  <si>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</si>
  <si>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</si>
  <si>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</si>
  <si>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</si>
  <si>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</si>
  <si>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</si>
  <si>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</si>
  <si>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</si>
  <si>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</si>
  <si>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</si>
  <si>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</si>
  <si>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</si>
  <si>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</si>
  <si>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</si>
  <si>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</si>
  <si>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</si>
  <si>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</si>
  <si>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</si>
  <si>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</si>
  <si>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</si>
  <si>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</si>
  <si>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</si>
  <si>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</si>
  <si>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</si>
  <si>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</si>
  <si>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</si>
  <si>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</si>
  <si>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</si>
  <si>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</si>
  <si>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</si>
  <si>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</si>
  <si>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</si>
  <si>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</si>
  <si>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</si>
  <si>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</si>
  <si>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</si>
  <si>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</si>
  <si>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</si>
  <si>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</si>
  <si>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</si>
  <si>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</si>
  <si>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</si>
  <si>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</si>
  <si>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</si>
  <si>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</si>
  <si>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</si>
  <si>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</si>
  <si>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</si>
  <si>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</si>
  <si>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</si>
  <si>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</si>
  <si>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</si>
  <si>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</si>
  <si>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</si>
  <si>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</si>
  <si>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</si>
  <si>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</si>
  <si>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</si>
  <si>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</si>
  <si>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</si>
  <si>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</si>
  <si>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</si>
  <si>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</si>
  <si>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</si>
  <si>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</si>
  <si>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</si>
  <si>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</si>
  <si>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</si>
  <si>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</si>
  <si>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</si>
  <si>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</si>
  <si>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</si>
  <si>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</si>
  <si>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</si>
  <si>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</si>
  <si>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</si>
  <si>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</si>
  <si>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</si>
  <si>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</si>
  <si>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</si>
  <si>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</si>
  <si>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</si>
  <si>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</si>
  <si>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</si>
  <si>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</si>
  <si>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</si>
  <si>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</si>
  <si>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</si>
  <si>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</si>
  <si>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</si>
  <si>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</si>
  <si>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</si>
  <si>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</si>
  <si>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</si>
  <si>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</si>
  <si>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</si>
  <si>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</si>
  <si>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</si>
  <si>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</si>
  <si>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</si>
  <si>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</si>
  <si>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</si>
  <si>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</si>
  <si>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</si>
  <si>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</si>
  <si>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</si>
  <si>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</si>
  <si>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</si>
  <si>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</si>
  <si>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</si>
  <si>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</si>
  <si>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</si>
  <si>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</si>
  <si>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</si>
  <si>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</si>
  <si>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</si>
  <si>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</si>
  <si>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</si>
  <si>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</si>
  <si>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</si>
  <si>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</si>
  <si>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</si>
  <si>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</si>
  <si>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</si>
  <si>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</si>
  <si>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</si>
  <si>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</si>
  <si>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</si>
  <si>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</si>
  <si>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</si>
  <si>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</si>
  <si>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</si>
  <si>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</si>
  <si>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</si>
  <si>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</si>
  <si>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</si>
  <si>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</si>
  <si>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</si>
  <si>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</si>
  <si>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</si>
  <si>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</si>
  <si>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</si>
  <si>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</si>
  <si>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</si>
  <si>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</si>
  <si>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</si>
  <si>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</si>
  <si>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</si>
  <si>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</si>
  <si>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</si>
  <si>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</si>
  <si>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</si>
  <si>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</si>
  <si>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</si>
  <si>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</si>
  <si>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</si>
  <si>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</si>
  <si>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</si>
  <si>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</si>
  <si>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</si>
  <si>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</si>
  <si>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</si>
  <si>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</si>
  <si>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</si>
  <si>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</si>
  <si>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</si>
  <si>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</si>
  <si>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</si>
  <si>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</si>
  <si>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</si>
  <si>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</si>
  <si>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</si>
  <si>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</si>
  <si>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</si>
  <si>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</si>
  <si>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</si>
  <si>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</si>
  <si>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</si>
  <si>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</si>
  <si>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</si>
  <si>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</si>
  <si>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</si>
  <si>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</si>
  <si>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</si>
  <si>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</si>
  <si>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</si>
  <si>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</si>
  <si>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</si>
  <si>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</si>
  <si>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</si>
  <si>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</si>
  <si>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</si>
  <si>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</si>
  <si>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</si>
  <si>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</si>
  <si>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</si>
  <si>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</si>
  <si>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</si>
  <si>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</si>
  <si>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</si>
  <si>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</si>
  <si>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</si>
  <si>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</si>
  <si>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</si>
  <si>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</si>
  <si>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</si>
  <si>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</si>
  <si>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</si>
  <si>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</si>
  <si>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</si>
  <si>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</si>
  <si>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</si>
  <si>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</si>
  <si>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</si>
  <si>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</si>
  <si>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</si>
  <si>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</si>
  <si>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</si>
  <si>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</si>
  <si>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</si>
  <si>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</si>
  <si>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</si>
  <si>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</si>
  <si>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</si>
  <si>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</si>
  <si>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</si>
  <si>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</si>
  <si>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</si>
  <si>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</si>
  <si>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</si>
  <si>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</si>
  <si>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</si>
  <si>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</si>
  <si>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</si>
  <si>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</si>
  <si>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</si>
  <si>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</si>
  <si>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</si>
  <si>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</si>
  <si>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</si>
  <si>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</si>
  <si>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</si>
  <si>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</si>
  <si>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</si>
  <si>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</si>
  <si>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</si>
  <si>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</si>
  <si>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</si>
  <si>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</si>
  <si>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</si>
  <si>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</si>
  <si>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</si>
  <si>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</si>
  <si>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</si>
  <si>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</si>
  <si>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</si>
  <si>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</si>
  <si>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</si>
  <si>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</si>
  <si>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</si>
  <si>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</si>
  <si>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</si>
  <si>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</si>
  <si>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</si>
  <si>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</si>
  <si>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</si>
  <si>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</si>
  <si>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</si>
  <si>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</si>
  <si>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</si>
  <si>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</si>
  <si>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</si>
  <si>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</si>
  <si>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</si>
  <si>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</si>
  <si>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</si>
  <si>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</si>
  <si>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</si>
  <si>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</si>
  <si>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</si>
  <si>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</si>
  <si>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</si>
  <si>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</si>
  <si>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</si>
  <si>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</si>
  <si>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</si>
  <si>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</si>
  <si>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</si>
  <si>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</si>
  <si>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</si>
  <si>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</si>
  <si>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</si>
  <si>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</si>
  <si>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</si>
  <si>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</si>
  <si>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</si>
  <si>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</si>
  <si>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</si>
  <si>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</si>
  <si>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</si>
  <si>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</si>
  <si>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</si>
  <si>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</si>
  <si>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</si>
  <si>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</si>
  <si>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</si>
  <si>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</si>
  <si>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</si>
  <si>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</si>
  <si>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</si>
  <si>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</si>
  <si>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</si>
  <si>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</si>
  <si>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</si>
  <si>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</si>
  <si>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</si>
  <si>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</si>
  <si>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</si>
  <si>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</si>
  <si>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</si>
  <si>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</si>
  <si>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</si>
  <si>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</si>
  <si>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</si>
  <si>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</si>
  <si>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</si>
  <si>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</si>
  <si>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</si>
  <si>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</si>
  <si>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</si>
  <si>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</si>
  <si>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</si>
  <si>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</si>
  <si>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</si>
  <si>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</si>
  <si>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</si>
  <si>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</si>
  <si>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</si>
  <si>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</si>
  <si>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</si>
  <si>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</si>
  <si>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</si>
  <si>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</si>
  <si>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</si>
  <si>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</si>
  <si>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</si>
  <si>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</si>
  <si>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</si>
  <si>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</si>
  <si>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</si>
  <si>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</si>
  <si>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</si>
  <si>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</si>
  <si>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</si>
  <si>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</si>
  <si>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</si>
  <si>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</si>
  <si>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</si>
  <si>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</si>
  <si>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</si>
  <si>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</si>
  <si>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</si>
  <si>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</si>
  <si>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</si>
  <si>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</si>
  <si>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</si>
  <si>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</si>
  <si>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</si>
  <si>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</si>
  <si>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</si>
  <si>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</si>
  <si>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</si>
  <si>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</si>
  <si>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</si>
  <si>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</si>
  <si>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</si>
  <si>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</si>
  <si>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</si>
  <si>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</si>
  <si>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</si>
  <si>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</si>
  <si>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</si>
  <si>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</si>
  <si>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</si>
  <si>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</si>
  <si>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</si>
  <si>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</si>
  <si>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</si>
  <si>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</si>
  <si>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</si>
  <si>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</si>
  <si>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</si>
  <si>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</si>
  <si>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</si>
  <si>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</si>
  <si>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</si>
  <si>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</si>
  <si>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</si>
  <si>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</si>
  <si>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</si>
  <si>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</si>
  <si>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</si>
  <si>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</si>
  <si>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</si>
  <si>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</si>
  <si>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</si>
  <si>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</si>
  <si>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</si>
  <si>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</si>
  <si>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</si>
  <si>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</si>
  <si>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</si>
  <si>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</si>
  <si>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</si>
  <si>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</si>
  <si>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</si>
  <si>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</si>
  <si>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</si>
  <si>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</si>
  <si>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</si>
  <si>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</si>
  <si>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</si>
  <si>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</si>
  <si>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</si>
  <si>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</si>
  <si>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</si>
  <si>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</si>
  <si>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</si>
  <si>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</si>
  <si>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</si>
  <si>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</si>
  <si>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</si>
  <si>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</si>
  <si>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</si>
  <si>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</si>
  <si>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</si>
  <si>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</si>
  <si>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</si>
  <si>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</si>
  <si>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</si>
  <si>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</si>
  <si>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</si>
  <si>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</si>
  <si>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</si>
  <si>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</si>
  <si>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</si>
  <si>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</si>
  <si>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</si>
  <si>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</si>
  <si>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</si>
  <si>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</si>
  <si>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</si>
  <si>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</si>
  <si>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</si>
  <si>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</si>
  <si>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</si>
  <si>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</si>
  <si>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</si>
  <si>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</si>
  <si>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</si>
  <si>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</si>
  <si>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</si>
  <si>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</si>
  <si>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</si>
  <si>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</si>
  <si>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</si>
  <si>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</si>
  <si>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</si>
  <si>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</si>
  <si>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</si>
  <si>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</si>
  <si>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</si>
  <si>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</si>
  <si>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</si>
  <si>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</si>
  <si>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</si>
  <si>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</si>
  <si>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</si>
  <si>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</si>
  <si>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</si>
  <si>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</si>
  <si>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</si>
  <si>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</si>
  <si>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</si>
  <si>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</si>
  <si>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</si>
  <si>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</si>
  <si>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</si>
  <si>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</si>
  <si>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</si>
  <si>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</si>
  <si>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</si>
  <si>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</si>
  <si>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</si>
  <si>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</si>
  <si>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</si>
  <si>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</si>
  <si>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</si>
  <si>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</si>
  <si>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</si>
  <si>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</si>
  <si>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</si>
  <si>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</si>
  <si>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</si>
  <si>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</si>
  <si>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</si>
  <si>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</si>
  <si>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</si>
  <si>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</si>
  <si>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</si>
  <si>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</si>
  <si>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</si>
  <si>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</si>
  <si>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</si>
  <si>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</si>
  <si>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</si>
  <si>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</si>
  <si>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</si>
  <si>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</si>
  <si>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</si>
  <si>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</si>
  <si>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</si>
  <si>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</si>
  <si>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</si>
  <si>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</si>
  <si>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</si>
  <si>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</si>
  <si>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</si>
  <si>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</si>
  <si>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</si>
  <si>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</si>
  <si>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</si>
  <si>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</si>
  <si>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</si>
  <si>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</si>
  <si>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</si>
  <si>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</si>
  <si>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</si>
  <si>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</si>
  <si>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</si>
  <si>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</si>
  <si>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</si>
  <si>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</si>
  <si>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</si>
  <si>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</si>
  <si>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</si>
  <si>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</si>
  <si>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</si>
  <si>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</si>
  <si>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</si>
  <si>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</si>
  <si>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</si>
  <si>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</si>
  <si>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</si>
  <si>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</si>
  <si>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</si>
  <si>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</si>
  <si>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</si>
  <si>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</si>
  <si>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</si>
  <si>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</si>
  <si>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</si>
  <si>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</si>
  <si>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</si>
  <si>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</si>
  <si>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</si>
  <si>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</si>
  <si>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</si>
  <si>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</si>
  <si>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</si>
  <si>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</si>
  <si>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</si>
  <si>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</si>
  <si>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</si>
  <si>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</si>
  <si>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</si>
  <si>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</si>
  <si>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</si>
  <si>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</si>
  <si>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</si>
  <si>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</si>
  <si>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</si>
  <si>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</si>
  <si>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</si>
  <si>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</si>
  <si>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</si>
  <si>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</si>
  <si>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</si>
  <si>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</si>
  <si>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</si>
  <si>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</si>
  <si>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</si>
  <si>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</si>
  <si>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</si>
  <si>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</si>
  <si>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</si>
  <si>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</si>
  <si>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</si>
  <si>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</si>
  <si>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</si>
  <si>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</si>
  <si>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</si>
  <si>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</si>
  <si>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</si>
  <si>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</si>
  <si>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</si>
  <si>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</si>
  <si>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</si>
  <si>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</si>
  <si>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</si>
  <si>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</si>
  <si>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</si>
  <si>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</si>
  <si>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</si>
  <si>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</si>
  <si>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</si>
  <si>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</si>
  <si>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</si>
  <si>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</si>
  <si>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</si>
  <si>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</si>
  <si>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</si>
  <si>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</si>
  <si>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</si>
  <si>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</si>
  <si>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</si>
  <si>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</si>
  <si>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</si>
  <si>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</si>
  <si>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</si>
  <si>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</si>
  <si>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</si>
  <si>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</si>
  <si>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</si>
  <si>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</si>
  <si>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</si>
  <si>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</si>
  <si>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</si>
  <si>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</si>
  <si>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</si>
  <si>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</si>
  <si>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</si>
  <si>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</si>
  <si>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</si>
  <si>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</si>
  <si>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</si>
  <si>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</si>
  <si>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</si>
  <si>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</si>
  <si>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</si>
  <si>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</si>
  <si>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</si>
  <si>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</si>
  <si>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</si>
  <si>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</si>
  <si>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</si>
  <si>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</si>
  <si>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</si>
  <si>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</si>
  <si>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</si>
  <si>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</si>
  <si>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</si>
  <si>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</si>
  <si>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</si>
  <si>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</si>
  <si>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</si>
  <si>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</si>
  <si>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</si>
  <si>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</si>
  <si>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</si>
  <si>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</si>
  <si>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</si>
  <si>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</si>
  <si>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</si>
  <si>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</si>
  <si>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</si>
  <si>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</si>
  <si>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</si>
  <si>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</si>
  <si>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</si>
  <si>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</si>
  <si>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</si>
  <si>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</si>
  <si>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</si>
  <si>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</si>
  <si>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</si>
  <si>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</si>
  <si>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</si>
  <si>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</si>
  <si>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</si>
  <si>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</si>
  <si>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</si>
  <si>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</si>
  <si>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</si>
  <si>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</si>
  <si>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</si>
  <si>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</si>
  <si>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</si>
  <si>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</si>
  <si>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</si>
  <si>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</si>
  <si>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</si>
  <si>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</si>
  <si>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</si>
  <si>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</si>
  <si>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</si>
  <si>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</si>
  <si>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</si>
  <si>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</si>
  <si>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</si>
  <si>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</si>
  <si>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</si>
  <si>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</si>
  <si>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</si>
  <si>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</si>
  <si>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</si>
  <si>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</si>
  <si>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</si>
  <si>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</si>
  <si>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</si>
  <si>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</si>
  <si>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</si>
  <si>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</si>
  <si>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</si>
  <si>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</si>
  <si>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</si>
  <si>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</si>
  <si>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</si>
  <si>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</si>
  <si>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</si>
  <si>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</si>
  <si>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</si>
  <si>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</si>
  <si>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</si>
  <si>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</si>
  <si>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</si>
  <si>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</si>
  <si>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</si>
  <si>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</si>
  <si>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</si>
  <si>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</si>
  <si>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</si>
  <si>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</si>
  <si>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</si>
  <si>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</si>
  <si>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</si>
  <si>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</si>
  <si>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</si>
  <si>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</si>
  <si>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</si>
  <si>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</si>
  <si>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</si>
  <si>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</si>
  <si>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</si>
  <si>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</si>
  <si>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</si>
  <si>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</si>
  <si>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</si>
  <si>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</si>
  <si>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</si>
  <si>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</si>
  <si>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</si>
  <si>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</si>
  <si>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</si>
  <si>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</si>
  <si>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</si>
  <si>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</si>
  <si>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</si>
  <si>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</si>
  <si>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</si>
  <si>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</si>
  <si>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</si>
  <si>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</si>
  <si>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</si>
  <si>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</si>
  <si>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</si>
  <si>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</si>
  <si>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</si>
  <si>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</si>
  <si>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</si>
  <si>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</si>
  <si>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</si>
  <si>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</si>
  <si>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</si>
  <si>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</si>
  <si>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</si>
  <si>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</si>
  <si>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</si>
  <si>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</si>
  <si>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</si>
  <si>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</si>
  <si>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</si>
  <si>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</si>
  <si>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</si>
  <si>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</si>
  <si>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</si>
  <si>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</si>
  <si>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</si>
  <si>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</si>
  <si>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</si>
  <si>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</si>
  <si>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</si>
  <si>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</si>
  <si>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</si>
  <si>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</si>
  <si>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</si>
  <si>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</si>
  <si>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</si>
  <si>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</si>
  <si>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</si>
  <si>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</si>
  <si>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</si>
  <si>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</si>
  <si>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</si>
  <si>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</si>
  <si>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</si>
  <si>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</si>
  <si>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</si>
  <si>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</si>
  <si>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</si>
  <si>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</si>
  <si>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</si>
  <si>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</si>
  <si>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</si>
  <si>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</si>
  <si>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</si>
  <si>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</si>
  <si>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</si>
  <si>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</si>
  <si>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</si>
  <si>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</si>
  <si>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</si>
  <si>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</si>
  <si>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</si>
  <si>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</si>
  <si>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</si>
  <si>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</si>
  <si>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</si>
  <si>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</si>
  <si>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</si>
  <si>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</si>
  <si>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</si>
  <si>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</si>
  <si>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</si>
  <si>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</si>
  <si>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</si>
  <si>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</si>
  <si>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</si>
  <si>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</si>
  <si>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</si>
  <si>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</si>
  <si>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</si>
  <si>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</si>
  <si>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</si>
  <si>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</si>
  <si>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</si>
  <si>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</si>
  <si>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</si>
  <si>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</si>
  <si>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</si>
  <si>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</si>
  <si>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</si>
  <si>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</si>
  <si>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</si>
  <si>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</si>
  <si>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</si>
  <si>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</si>
  <si>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</si>
  <si>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</si>
  <si>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</si>
  <si>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</si>
  <si>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</si>
  <si>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</si>
  <si>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</si>
  <si>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</si>
  <si>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</si>
  <si>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</si>
  <si>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</si>
  <si>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</si>
  <si>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</si>
  <si>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</si>
  <si>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</si>
  <si>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</si>
  <si>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</si>
  <si>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</si>
  <si>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</si>
  <si>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</si>
  <si>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</si>
  <si>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</si>
  <si>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</si>
  <si>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</si>
  <si>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</si>
  <si>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</si>
  <si>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</si>
  <si>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</si>
  <si>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</si>
  <si>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</si>
  <si>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</si>
  <si>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</si>
  <si>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</si>
  <si>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</si>
  <si>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</si>
  <si>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</si>
  <si>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</si>
  <si>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</si>
  <si>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</si>
  <si>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</si>
  <si>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</si>
  <si>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</si>
  <si>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</si>
  <si>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</si>
  <si>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</si>
  <si>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</si>
  <si>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</si>
  <si>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</si>
  <si>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</si>
  <si>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</si>
  <si>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</si>
  <si>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</si>
  <si>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</si>
  <si>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</si>
  <si>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</si>
  <si>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</si>
  <si>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</si>
  <si>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</si>
  <si>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</si>
  <si>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</si>
  <si>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</si>
  <si>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</si>
  <si>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</si>
  <si>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</si>
  <si>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</si>
  <si>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</si>
  <si>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</si>
  <si>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</si>
  <si>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</si>
  <si>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</si>
  <si>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</si>
  <si>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</si>
  <si>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</si>
  <si>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</si>
  <si>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</si>
  <si>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</si>
  <si>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</si>
  <si>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</si>
  <si>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</si>
  <si>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</si>
  <si>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</si>
  <si>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</si>
  <si>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</si>
  <si>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</si>
  <si>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</si>
  <si>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</si>
  <si>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</si>
  <si>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</si>
  <si>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</si>
  <si>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</si>
  <si>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</si>
  <si>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</si>
  <si>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</si>
  <si>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</si>
  <si>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</si>
  <si>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</si>
  <si>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</si>
  <si>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</si>
  <si>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</si>
  <si>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</si>
  <si>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</si>
  <si>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</si>
  <si>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</si>
  <si>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</si>
  <si>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</si>
  <si>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</si>
  <si>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</si>
  <si>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</si>
  <si>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</si>
  <si>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</si>
  <si>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</si>
  <si>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</si>
  <si>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</si>
  <si>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</si>
  <si>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</si>
  <si>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</si>
  <si>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</si>
  <si>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</si>
  <si>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</si>
  <si>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</si>
  <si>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</si>
  <si>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</si>
  <si>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</si>
  <si>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</si>
  <si>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</si>
  <si>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</si>
  <si>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</si>
  <si>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</si>
  <si>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</si>
  <si>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</si>
  <si>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</si>
  <si>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</si>
  <si>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</si>
  <si>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</si>
  <si>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</si>
  <si>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</si>
  <si>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</si>
  <si>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</si>
  <si>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</si>
  <si>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</si>
  <si>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</si>
  <si>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</si>
  <si>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</si>
  <si>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</si>
  <si>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</si>
  <si>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</si>
  <si>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</si>
  <si>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</si>
  <si>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</si>
  <si>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</si>
  <si>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</si>
  <si>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</si>
  <si>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</si>
  <si>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</si>
  <si>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</si>
  <si>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</si>
  <si>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</si>
  <si>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</si>
  <si>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</si>
  <si>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</si>
  <si>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</si>
  <si>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</si>
  <si>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</si>
  <si>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</si>
  <si>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</si>
  <si>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</si>
  <si>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</si>
  <si>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</si>
  <si>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</si>
  <si>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</si>
  <si>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</si>
  <si>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</si>
  <si>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</si>
  <si>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</si>
  <si>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</si>
  <si>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</si>
  <si>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</si>
  <si>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</si>
  <si>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</si>
  <si>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</si>
  <si>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</si>
  <si>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</si>
  <si>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</si>
  <si>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</si>
  <si>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</si>
  <si>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</si>
  <si>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</si>
  <si>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</si>
  <si>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</si>
  <si>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</si>
  <si>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</si>
  <si>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</si>
  <si>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</si>
  <si>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</si>
  <si>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</si>
  <si>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</si>
  <si>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</si>
  <si>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</si>
  <si>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</si>
  <si>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</si>
  <si>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</si>
  <si>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</si>
  <si>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</si>
  <si>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</si>
  <si>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</si>
  <si>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</si>
  <si>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</si>
  <si>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</si>
  <si>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</si>
  <si>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</si>
  <si>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</si>
  <si>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</si>
  <si>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</si>
  <si>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</si>
  <si>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</si>
  <si>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</si>
  <si>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</si>
  <si>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</si>
  <si>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</si>
  <si>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</si>
  <si>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</si>
  <si>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</si>
  <si>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</si>
  <si>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</si>
  <si>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</si>
  <si>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</si>
  <si>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</si>
  <si>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</si>
  <si>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</si>
  <si>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</si>
  <si>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</si>
  <si>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</si>
  <si>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</si>
  <si>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</si>
  <si>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</si>
  <si>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</si>
  <si>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</si>
  <si>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</si>
  <si>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</si>
  <si>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</si>
  <si>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</si>
  <si>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</si>
  <si>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</si>
  <si>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</si>
  <si>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</si>
  <si>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</si>
  <si>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</si>
  <si>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</si>
  <si>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</si>
  <si>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</si>
  <si>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</si>
  <si>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</si>
  <si>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</si>
  <si>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</si>
  <si>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</si>
  <si>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</si>
  <si>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</si>
  <si>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</si>
  <si>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</si>
  <si>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</si>
  <si>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</si>
  <si>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</si>
  <si>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</si>
  <si>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</si>
  <si>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</si>
  <si>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</si>
  <si>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</si>
  <si>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</si>
  <si>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</si>
  <si>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</si>
  <si>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</si>
  <si>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</si>
  <si>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</si>
  <si>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</si>
  <si>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</si>
  <si>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</si>
  <si>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</si>
  <si>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</si>
  <si>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</si>
  <si>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</si>
  <si>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</si>
  <si>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</si>
  <si>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</si>
  <si>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</si>
  <si>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</si>
  <si>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</si>
  <si>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</si>
  <si>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</si>
  <si>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</si>
  <si>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</si>
  <si>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</si>
  <si>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</si>
  <si>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</si>
  <si>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</si>
  <si>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</si>
  <si>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</si>
  <si>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</si>
  <si>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</si>
  <si>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</si>
  <si>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</si>
  <si>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</si>
  <si>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</si>
  <si>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</si>
  <si>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</si>
  <si>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</si>
  <si>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</si>
  <si>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</si>
  <si>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</si>
  <si>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</si>
  <si>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</si>
  <si>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</si>
  <si>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</si>
  <si>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</si>
  <si>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</si>
  <si>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</si>
  <si>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</si>
  <si>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</si>
  <si>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</si>
  <si>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</si>
  <si>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</si>
  <si>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</si>
  <si>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</si>
  <si>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</si>
  <si>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</si>
  <si>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</si>
  <si>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</si>
  <si>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</si>
  <si>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</si>
  <si>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</si>
  <si>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</si>
  <si>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</si>
  <si>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</si>
  <si>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</si>
  <si>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</si>
  <si>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</si>
  <si>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</si>
  <si>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</si>
  <si>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</si>
  <si>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</si>
  <si>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</si>
  <si>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</si>
  <si>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</si>
  <si>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</si>
  <si>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</si>
  <si>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</si>
  <si>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</si>
  <si>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</si>
  <si>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</si>
  <si>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</si>
  <si>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</si>
  <si>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</si>
  <si>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</si>
  <si>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</si>
  <si>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</si>
  <si>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</si>
  <si>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</si>
  <si>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</si>
  <si>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</si>
  <si>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</si>
  <si>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</si>
  <si>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</si>
  <si>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</si>
  <si>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</si>
  <si>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</si>
  <si>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</si>
  <si>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</si>
  <si>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</si>
  <si>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</si>
  <si>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</si>
  <si>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</si>
  <si>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</si>
  <si>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</si>
  <si>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</si>
  <si>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</si>
  <si>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</si>
  <si>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</si>
  <si>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</si>
  <si>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</si>
  <si>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</si>
  <si>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</si>
  <si>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</si>
  <si>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</si>
  <si>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</si>
  <si>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</si>
  <si>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</si>
  <si>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</si>
  <si>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</si>
  <si>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</si>
  <si>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</si>
  <si>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</si>
  <si>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</si>
  <si>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</si>
  <si>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</si>
  <si>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</si>
  <si>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</si>
  <si>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</si>
  <si>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</si>
  <si>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</si>
  <si>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</si>
  <si>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</si>
  <si>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</si>
  <si>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</si>
  <si>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</si>
  <si>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</si>
  <si>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</si>
  <si>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</si>
  <si>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</si>
  <si>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</si>
  <si>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</si>
  <si>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</si>
  <si>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</si>
  <si>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</si>
  <si>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</si>
  <si>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</si>
  <si>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</si>
  <si>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</si>
  <si>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</si>
  <si>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</si>
  <si>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</si>
  <si>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</si>
  <si>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</si>
  <si>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</si>
  <si>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</si>
  <si>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</si>
  <si>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</si>
  <si>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</si>
  <si>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</si>
  <si>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</si>
  <si>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</si>
  <si>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</si>
  <si>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</si>
  <si>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</si>
  <si>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</si>
  <si>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</si>
  <si>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</si>
  <si>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</si>
  <si>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</si>
  <si>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</si>
  <si>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</si>
  <si>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</si>
  <si>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</si>
  <si>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</si>
  <si>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</si>
  <si>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</si>
  <si>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</si>
  <si>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</si>
  <si>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</si>
  <si>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</si>
  <si>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</si>
  <si>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</si>
  <si>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</si>
  <si>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</si>
  <si>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</si>
  <si>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</si>
  <si>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</si>
  <si>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</si>
  <si>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</si>
  <si>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</si>
  <si>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</si>
  <si>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</si>
  <si>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</si>
  <si>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</si>
  <si>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</si>
  <si>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</si>
  <si>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</si>
  <si>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</si>
  <si>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</si>
  <si>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</si>
  <si>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</si>
  <si>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</si>
  <si>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</si>
  <si>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</si>
  <si>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</si>
  <si>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</si>
  <si>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</si>
  <si>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</si>
  <si>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</si>
  <si>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</si>
  <si>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</si>
  <si>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</si>
  <si>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</si>
  <si>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</si>
  <si>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</si>
  <si>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</si>
  <si>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</si>
  <si>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</si>
  <si>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</si>
  <si>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</si>
  <si>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</si>
  <si>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</si>
  <si>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</si>
  <si>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</si>
  <si>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</si>
  <si>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</si>
  <si>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</si>
  <si>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</si>
  <si>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</si>
  <si>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</si>
  <si>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</si>
  <si>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</si>
  <si>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</si>
  <si>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</si>
  <si>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</si>
  <si>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</si>
  <si>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</si>
  <si>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</si>
  <si>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</si>
  <si>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</si>
  <si>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</si>
  <si>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</si>
  <si>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</si>
  <si>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</si>
  <si>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</si>
  <si>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</si>
  <si>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</si>
  <si>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</si>
  <si>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</si>
  <si>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</si>
  <si>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</si>
  <si>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</si>
  <si>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</si>
  <si>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</si>
  <si>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</si>
  <si>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</si>
  <si>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</si>
  <si>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</si>
  <si>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</si>
  <si>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</si>
  <si>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</si>
  <si>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</si>
  <si>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</si>
  <si>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</si>
  <si>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</si>
  <si>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</si>
  <si>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</si>
  <si>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</si>
  <si>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</si>
  <si>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</si>
  <si>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</si>
  <si>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</si>
  <si>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</si>
  <si>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</si>
  <si>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</si>
  <si>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</si>
  <si>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</si>
  <si>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</si>
  <si>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</si>
  <si>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</si>
  <si>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</si>
  <si>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</si>
  <si>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</si>
  <si>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</si>
  <si>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</si>
  <si>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</si>
  <si>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</si>
  <si>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</si>
  <si>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</si>
  <si>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</si>
  <si>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</si>
  <si>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</si>
  <si>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</si>
  <si>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</si>
  <si>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</si>
  <si>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</si>
  <si>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</si>
  <si>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</si>
  <si>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</si>
  <si>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</si>
  <si>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</si>
  <si>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</si>
  <si>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</si>
  <si>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</si>
  <si>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</si>
  <si>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</si>
  <si>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</si>
  <si>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</si>
  <si>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</si>
  <si>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</si>
  <si>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</si>
  <si>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</si>
  <si>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</si>
  <si>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</si>
  <si>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</si>
  <si>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</si>
  <si>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</si>
  <si>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</si>
  <si>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</si>
  <si>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</si>
  <si>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</si>
  <si>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</si>
  <si>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</si>
  <si>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</si>
  <si>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</si>
  <si>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</si>
  <si>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</si>
  <si>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</si>
  <si>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</si>
  <si>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</si>
  <si>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</si>
  <si>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</si>
  <si>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</si>
  <si>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</si>
  <si>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</si>
  <si>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</si>
  <si>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</si>
  <si>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</si>
  <si>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</si>
  <si>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</si>
  <si>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</si>
  <si>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</si>
  <si>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</si>
  <si>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</si>
  <si>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</si>
  <si>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</si>
  <si>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</si>
  <si>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</si>
  <si>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</si>
  <si>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</si>
  <si>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</si>
  <si>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</si>
  <si>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</si>
  <si>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</si>
  <si>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</si>
  <si>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</si>
  <si>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</si>
  <si>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</si>
  <si>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</si>
  <si>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</si>
  <si>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</si>
  <si>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</si>
  <si>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</si>
  <si>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</si>
  <si>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</si>
  <si>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</si>
  <si>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</si>
  <si>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</si>
  <si>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</si>
  <si>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</si>
  <si>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</si>
  <si>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</si>
  <si>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</si>
  <si>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</si>
  <si>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</si>
  <si>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</si>
  <si>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</si>
  <si>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</si>
  <si>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</si>
  <si>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</si>
  <si>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</si>
  <si>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</si>
  <si>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</si>
  <si>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</si>
  <si>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</si>
  <si>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</si>
  <si>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</si>
  <si>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</si>
  <si>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</si>
  <si>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</si>
  <si>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</si>
  <si>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</si>
  <si>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</si>
  <si>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</si>
  <si>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</si>
  <si>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</si>
  <si>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</si>
  <si>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</si>
  <si>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</si>
  <si>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</si>
  <si>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</si>
  <si>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</si>
  <si>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</si>
  <si>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</si>
  <si>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</si>
  <si>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</si>
  <si>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</si>
  <si>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</si>
  <si>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</si>
  <si>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</si>
  <si>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</si>
  <si>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</si>
  <si>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</si>
  <si>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</si>
  <si>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</si>
  <si>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</si>
  <si>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</si>
  <si>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</si>
  <si>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</si>
  <si>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</si>
  <si>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</si>
  <si>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</si>
  <si>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</si>
  <si>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</si>
  <si>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</si>
  <si>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</si>
  <si>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</si>
  <si>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</si>
  <si>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</si>
  <si>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</si>
  <si>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</si>
  <si>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</si>
  <si>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</si>
  <si>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</si>
  <si>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</si>
  <si>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</si>
  <si>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</si>
  <si>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</si>
  <si>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</si>
  <si>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</si>
  <si>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</si>
  <si>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</si>
  <si>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</si>
  <si>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</si>
  <si>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</si>
  <si>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</si>
  <si>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</si>
  <si>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</si>
  <si>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</si>
  <si>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</si>
  <si>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</si>
  <si>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</si>
  <si>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</si>
  <si>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</si>
  <si>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</si>
  <si>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</si>
  <si>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</si>
  <si>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</si>
  <si>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</si>
  <si>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</si>
  <si>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</si>
  <si>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</si>
  <si>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</si>
  <si>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</si>
  <si>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</si>
  <si>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</si>
  <si>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</si>
  <si>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</si>
  <si>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</si>
  <si>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</si>
  <si>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</si>
  <si>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</si>
  <si>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</si>
  <si>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</si>
  <si>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</si>
  <si>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</si>
  <si>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</si>
  <si>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</si>
  <si>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</si>
  <si>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</si>
  <si>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</si>
  <si>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</si>
  <si>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</si>
  <si>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</si>
  <si>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</si>
  <si>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</si>
  <si>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</si>
  <si>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</si>
  <si>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</si>
  <si>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</si>
  <si>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</si>
  <si>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</si>
  <si>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</si>
  <si>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</si>
  <si>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</si>
  <si>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</si>
  <si>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</si>
  <si>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</si>
  <si>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</si>
  <si>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</si>
  <si>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</si>
  <si>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</si>
  <si>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</si>
  <si>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</si>
  <si>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</si>
  <si>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</si>
  <si>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</si>
  <si>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</si>
  <si>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</si>
  <si>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</si>
  <si>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</si>
  <si>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</si>
  <si>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</si>
  <si>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</si>
  <si>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</si>
  <si>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</si>
  <si>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</si>
  <si>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</si>
  <si>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</si>
  <si>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</si>
  <si>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</si>
  <si>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</si>
  <si>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</si>
  <si>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</si>
  <si>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</si>
  <si>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</si>
  <si>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</si>
  <si>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</si>
  <si>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</si>
  <si>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</si>
  <si>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</si>
  <si>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</si>
  <si>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</si>
  <si>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</si>
  <si>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</si>
  <si>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</si>
  <si>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</si>
  <si>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</si>
  <si>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</si>
  <si>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</si>
  <si>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</si>
  <si>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</si>
  <si>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</si>
  <si>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</si>
  <si>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</si>
  <si>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</si>
  <si>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</si>
  <si>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</si>
  <si>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</si>
  <si>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</si>
  <si>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</si>
  <si>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</si>
  <si>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</si>
  <si>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</si>
  <si>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</si>
  <si>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</si>
  <si>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</si>
  <si>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</si>
  <si>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</si>
  <si>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</si>
  <si>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</si>
  <si>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</si>
  <si>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</si>
  <si>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</si>
  <si>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</si>
  <si>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</si>
  <si>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</si>
  <si>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</si>
  <si>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</si>
  <si>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</si>
  <si>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</si>
  <si>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</si>
  <si>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</si>
  <si>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</si>
  <si>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</si>
  <si>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</si>
  <si>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</si>
  <si>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</si>
  <si>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</si>
  <si>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</si>
  <si>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</si>
  <si>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</si>
  <si>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</si>
  <si>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</si>
  <si>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</si>
  <si>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</si>
  <si>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</si>
  <si>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</si>
  <si>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</si>
  <si>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</si>
  <si>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</si>
  <si>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</si>
  <si>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</si>
  <si>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</si>
  <si>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</si>
  <si>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</si>
  <si>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</si>
  <si>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</si>
  <si>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</si>
  <si>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</si>
  <si>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</si>
  <si>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</si>
  <si>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</si>
  <si>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</si>
  <si>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</si>
  <si>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</si>
  <si>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</si>
  <si>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</si>
  <si>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</si>
  <si>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</si>
  <si>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</si>
  <si>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</si>
  <si>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</si>
  <si>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</si>
  <si>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</si>
  <si>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</si>
  <si>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</si>
  <si>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</si>
  <si>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</si>
  <si>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</si>
  <si>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</si>
  <si>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</si>
  <si>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</si>
  <si>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</si>
  <si>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</si>
  <si>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</si>
  <si>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</si>
  <si>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</si>
  <si>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</si>
  <si>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</si>
  <si>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</si>
  <si>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</si>
  <si>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</si>
  <si>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</si>
  <si>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</si>
  <si>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</si>
  <si>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</si>
  <si>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</si>
  <si>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</si>
  <si>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</si>
  <si>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</si>
  <si>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</si>
  <si>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</si>
  <si>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</si>
  <si>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</si>
  <si>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</si>
  <si>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</si>
  <si>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</si>
  <si>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</si>
  <si>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</si>
  <si>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</si>
  <si>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</si>
  <si>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</si>
  <si>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</si>
  <si>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</si>
  <si>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</si>
  <si>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</si>
  <si>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</si>
  <si>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</si>
  <si>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</si>
  <si>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</si>
  <si>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</si>
  <si>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</si>
  <si>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</si>
  <si>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</si>
  <si>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</si>
  <si>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</si>
  <si>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</si>
  <si>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</si>
  <si>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</si>
  <si>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</si>
  <si>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</si>
  <si>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</si>
  <si>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</si>
  <si>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</si>
  <si>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</si>
  <si>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</si>
  <si>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</si>
  <si>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</si>
  <si>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</si>
  <si>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</si>
  <si>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</si>
  <si>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</si>
  <si>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</si>
  <si>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</si>
  <si>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</si>
  <si>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</si>
  <si>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</si>
  <si>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</si>
  <si>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</si>
  <si>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</si>
  <si>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</si>
  <si>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</si>
  <si>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</si>
  <si>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</si>
  <si>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</si>
  <si>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</si>
  <si>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</si>
  <si>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</si>
  <si>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</si>
  <si>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</si>
  <si>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</si>
  <si>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</si>
  <si>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</si>
  <si>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</si>
  <si>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</si>
  <si>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</si>
  <si>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</si>
  <si>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</si>
  <si>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</si>
  <si>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</si>
  <si>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</si>
  <si>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</si>
  <si>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</si>
  <si>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</si>
  <si>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</si>
  <si>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</si>
  <si>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</si>
  <si>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</si>
  <si>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</si>
  <si>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</si>
  <si>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</si>
  <si>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</si>
  <si>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</si>
  <si>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</si>
  <si>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</si>
  <si>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</si>
  <si>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</si>
  <si>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</si>
  <si>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</si>
  <si>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</si>
  <si>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</si>
  <si>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</si>
  <si>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</si>
  <si>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</si>
  <si>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</si>
  <si>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</si>
  <si>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</si>
  <si>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</si>
  <si>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</si>
  <si>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</si>
  <si>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</si>
  <si>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</si>
  <si>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</si>
  <si>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</si>
  <si>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</si>
  <si>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</si>
  <si>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</si>
  <si>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</si>
  <si>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</si>
  <si>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</si>
  <si>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</si>
  <si>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</si>
  <si>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</si>
  <si>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</si>
  <si>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</si>
  <si>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</si>
  <si>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</si>
  <si>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</si>
  <si>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</si>
  <si>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</si>
  <si>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</si>
  <si>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</si>
  <si>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</si>
  <si>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</si>
  <si>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</si>
  <si>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</si>
  <si>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</si>
  <si>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</si>
  <si>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</si>
  <si>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</si>
  <si>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</si>
  <si>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</si>
  <si>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</si>
  <si>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</si>
  <si>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</si>
  <si>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</si>
  <si>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</si>
  <si>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</si>
  <si>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</si>
  <si>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</si>
  <si>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</si>
  <si>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</si>
  <si>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</si>
  <si>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</si>
  <si>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</si>
  <si>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</si>
  <si>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</si>
  <si>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</si>
  <si>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</si>
  <si>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</si>
  <si>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</si>
  <si>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</si>
  <si>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</si>
  <si>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</si>
  <si>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</si>
  <si>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</si>
  <si>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</si>
  <si>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</si>
  <si>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</si>
  <si>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</si>
  <si>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</si>
  <si>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</si>
  <si>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</si>
  <si>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</si>
  <si>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</si>
  <si>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</si>
  <si>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</si>
  <si>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</si>
  <si>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</si>
  <si>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</si>
  <si>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</si>
  <si>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</si>
  <si>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</si>
  <si>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</si>
  <si>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</si>
  <si>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</si>
  <si>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</si>
  <si>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</si>
  <si>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</si>
  <si>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</si>
  <si>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</si>
  <si>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</si>
  <si>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</si>
  <si>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</si>
  <si>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</si>
  <si>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</si>
  <si>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</si>
  <si>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</si>
  <si>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</si>
  <si>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</si>
  <si>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</si>
  <si>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</si>
  <si>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</si>
  <si>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</si>
  <si>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</si>
  <si>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</si>
  <si>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</si>
  <si>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</si>
  <si>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</si>
  <si>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</si>
  <si>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</si>
  <si>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</si>
  <si>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</si>
  <si>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</si>
  <si>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</si>
  <si>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</si>
  <si>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</si>
  <si>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</si>
  <si>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</si>
  <si>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</si>
  <si>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</si>
  <si>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</si>
  <si>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</si>
  <si>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</si>
  <si>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</si>
  <si>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</si>
  <si>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</si>
  <si>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</si>
  <si>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</si>
  <si>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</si>
  <si>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</si>
  <si>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</si>
  <si>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</si>
  <si>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</si>
  <si>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</si>
  <si>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</si>
  <si>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</si>
  <si>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</si>
  <si>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</si>
  <si>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</si>
  <si>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</si>
  <si>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</si>
  <si>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</si>
  <si>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</si>
  <si>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</si>
  <si>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</si>
  <si>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</si>
  <si>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</si>
  <si>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</si>
  <si>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</si>
  <si>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</si>
  <si>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</si>
  <si>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</si>
  <si>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</si>
  <si>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</si>
  <si>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</si>
  <si>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</si>
  <si>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</si>
  <si>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</si>
  <si>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</si>
  <si>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</si>
  <si>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</si>
  <si>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</si>
  <si>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</si>
  <si>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</si>
  <si>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</si>
  <si>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</si>
  <si>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</si>
  <si>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</si>
  <si>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</si>
  <si>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</si>
  <si>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</si>
  <si>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</si>
  <si>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</si>
  <si>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</si>
  <si>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</si>
  <si>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</si>
  <si>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</si>
  <si>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</si>
  <si>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</si>
  <si>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</si>
  <si>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</si>
  <si>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</si>
  <si>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</si>
  <si>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</si>
  <si>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</si>
  <si>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</si>
  <si>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</si>
  <si>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</si>
  <si>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</si>
  <si>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</si>
  <si>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</si>
  <si>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</si>
  <si>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</si>
  <si>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</si>
  <si>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</si>
  <si>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</si>
  <si>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</si>
  <si>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</si>
  <si>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</si>
  <si>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</si>
  <si>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</si>
  <si>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</si>
  <si>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</si>
  <si>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</si>
  <si>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</si>
  <si>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</si>
  <si>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</si>
  <si>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</si>
  <si>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</si>
  <si>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</si>
  <si>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</si>
  <si>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</si>
  <si>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</si>
  <si>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</si>
  <si>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</si>
  <si>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</si>
  <si>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</si>
  <si>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</si>
  <si>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</si>
  <si>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</si>
  <si>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</si>
  <si>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</si>
  <si>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</si>
  <si>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</si>
  <si>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</si>
  <si>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</si>
  <si>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</si>
  <si>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</si>
  <si>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</si>
  <si>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</si>
  <si>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</si>
  <si>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</si>
  <si>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</si>
  <si>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</si>
  <si>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</si>
  <si>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</si>
  <si>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</si>
  <si>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</si>
  <si>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</si>
  <si>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</si>
  <si>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</si>
  <si>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</si>
  <si>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</si>
  <si>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</si>
  <si>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</si>
  <si>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</si>
  <si>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</si>
  <si>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</si>
  <si>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</si>
  <si>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</si>
  <si>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</si>
  <si>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</si>
  <si>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</si>
  <si>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</si>
  <si>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</si>
  <si>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</si>
  <si>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</si>
  <si>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</si>
  <si>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</si>
  <si>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</si>
  <si>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</si>
  <si>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</si>
  <si>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</si>
  <si>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</si>
  <si>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</si>
  <si>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</si>
  <si>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</si>
  <si>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</si>
  <si>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</si>
  <si>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</si>
  <si>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</si>
  <si>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</si>
  <si>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</si>
  <si>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</si>
  <si>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</si>
  <si>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</si>
  <si>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</si>
  <si>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</si>
  <si>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</si>
  <si>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</si>
  <si>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</si>
  <si>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</si>
  <si>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</si>
  <si>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</si>
  <si>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</si>
  <si>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</si>
  <si>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</si>
  <si>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</si>
  <si>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</si>
  <si>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</si>
  <si>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</si>
  <si>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</si>
  <si>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</si>
  <si>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</si>
  <si>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</si>
  <si>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</si>
  <si>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</si>
  <si>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</si>
  <si>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</si>
  <si>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</si>
  <si>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</si>
  <si>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</si>
  <si>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</si>
  <si>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</si>
  <si>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</si>
  <si>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</si>
  <si>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</si>
  <si>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</si>
  <si>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</si>
  <si>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</si>
  <si>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</si>
  <si>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</si>
  <si>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</si>
  <si>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</si>
  <si>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</si>
  <si>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</si>
  <si>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</si>
  <si>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</si>
  <si>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</si>
  <si>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</si>
  <si>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</si>
  <si>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</si>
  <si>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</si>
  <si>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</si>
  <si>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</si>
  <si>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</si>
  <si>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</si>
  <si>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</si>
  <si>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</si>
  <si>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</si>
  <si>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</si>
  <si>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</si>
  <si>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</si>
  <si>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</si>
  <si>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</si>
  <si>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</si>
  <si>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</si>
  <si>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</si>
  <si>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</si>
  <si>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</si>
  <si>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</si>
  <si>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</si>
  <si>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</si>
  <si>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</si>
  <si>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</si>
  <si>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</si>
  <si>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</si>
  <si>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</si>
  <si>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</si>
  <si>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</si>
  <si>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</si>
  <si>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</si>
  <si>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</si>
  <si>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</si>
  <si>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</si>
  <si>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</si>
  <si>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</si>
  <si>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</si>
  <si>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</si>
  <si>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</si>
  <si>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</si>
  <si>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</si>
  <si>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</si>
  <si>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</si>
  <si>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</si>
  <si>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</si>
  <si>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</si>
  <si>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</si>
  <si>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</si>
  <si>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</si>
  <si>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</si>
  <si>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</si>
  <si>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</si>
  <si>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</si>
  <si>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</si>
  <si>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</si>
  <si>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</si>
  <si>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</si>
  <si>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</si>
  <si>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</si>
  <si>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</si>
  <si>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</si>
  <si>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</si>
  <si>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</si>
  <si>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</si>
  <si>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</si>
  <si>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</si>
  <si>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</si>
  <si>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</si>
  <si>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</si>
  <si>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</si>
  <si>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</si>
  <si>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</si>
  <si>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</si>
  <si>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</si>
  <si>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</si>
  <si>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</si>
  <si>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</si>
  <si>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</si>
  <si>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</si>
  <si>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</si>
  <si>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</si>
  <si>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</si>
  <si>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</si>
  <si>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</si>
  <si>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</si>
  <si>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</si>
  <si>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</si>
  <si>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</si>
  <si>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</si>
  <si>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</si>
  <si>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</si>
  <si>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</si>
  <si>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</si>
  <si>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</si>
  <si>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</si>
  <si>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</si>
  <si>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</si>
  <si>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</si>
  <si>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</si>
  <si>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</si>
  <si>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</si>
  <si>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</si>
  <si>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</si>
  <si>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</si>
  <si>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</si>
  <si>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</si>
  <si>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</si>
  <si>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</si>
  <si>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</si>
  <si>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</si>
  <si>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</si>
  <si>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</si>
  <si>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</si>
  <si>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</si>
  <si>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</si>
  <si>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</si>
  <si>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</si>
  <si>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</si>
  <si>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</si>
  <si>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</si>
  <si>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</si>
  <si>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</si>
  <si>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</si>
  <si>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</si>
  <si>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</si>
  <si>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</si>
  <si>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</si>
  <si>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</si>
  <si>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</si>
  <si>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</si>
  <si>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</si>
  <si>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</si>
  <si>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</si>
  <si>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</si>
  <si>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</si>
  <si>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</si>
  <si>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</si>
  <si>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</si>
  <si>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</si>
  <si>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</si>
  <si>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</si>
  <si>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</si>
  <si>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</si>
  <si>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</si>
  <si>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</si>
  <si>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</si>
  <si>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</si>
  <si>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</si>
  <si>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</si>
  <si>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</si>
  <si>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</si>
  <si>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</si>
  <si>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</si>
  <si>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</si>
  <si>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</si>
  <si>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</si>
  <si>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</si>
  <si>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</si>
  <si>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</si>
  <si>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</si>
  <si>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</si>
  <si>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</si>
  <si>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</si>
  <si>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</si>
  <si>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</si>
  <si>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</si>
  <si>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</si>
  <si>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</si>
  <si>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</si>
  <si>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</si>
  <si>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</si>
  <si>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</si>
  <si>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</si>
  <si>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</si>
  <si>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</si>
  <si>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</si>
  <si>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</si>
  <si>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</si>
  <si>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</si>
  <si>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</si>
  <si>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</si>
  <si>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</si>
  <si>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</si>
  <si>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</si>
  <si>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</si>
  <si>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</si>
  <si>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</si>
  <si>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</si>
  <si>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</si>
  <si>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</si>
  <si>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</si>
  <si>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</si>
  <si>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</si>
  <si>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</si>
  <si>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</si>
  <si>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</si>
  <si>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</si>
  <si>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</si>
  <si>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</si>
  <si>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</si>
  <si>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</si>
  <si>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</si>
  <si>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</si>
  <si>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</si>
  <si>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</si>
  <si>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</si>
  <si>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</si>
  <si>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</si>
  <si>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</si>
  <si>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</si>
  <si>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</si>
  <si>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</si>
  <si>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</si>
  <si>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</si>
  <si>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</si>
  <si>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</si>
  <si>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</si>
  <si>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</si>
  <si>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</si>
  <si>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</si>
  <si>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</si>
  <si>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</si>
  <si>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</si>
  <si>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</si>
  <si>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</si>
  <si>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</si>
  <si>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</si>
  <si>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</si>
  <si>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</si>
  <si>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</si>
  <si>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</si>
  <si>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</si>
  <si>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</si>
  <si>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</si>
  <si>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</si>
  <si>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</si>
  <si>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</si>
  <si>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</si>
  <si>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</si>
  <si>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</si>
  <si>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</si>
  <si>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</si>
  <si>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</si>
  <si>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</si>
  <si>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</si>
  <si>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</si>
  <si>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</si>
  <si>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</si>
  <si>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</si>
  <si>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</si>
  <si>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</si>
  <si>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</si>
  <si>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</si>
  <si>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</si>
  <si>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</si>
  <si>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</si>
  <si>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</si>
  <si>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</si>
  <si>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</si>
  <si>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</si>
  <si>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</si>
  <si>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</si>
  <si>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</si>
  <si>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</si>
  <si>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</si>
  <si>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</si>
  <si>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</si>
  <si>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</si>
  <si>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</si>
  <si>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</si>
  <si>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</si>
  <si>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</si>
  <si>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</si>
  <si>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</si>
  <si>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</si>
  <si>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</si>
  <si>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</si>
  <si>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</si>
  <si>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</si>
  <si>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</si>
  <si>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</si>
  <si>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</si>
  <si>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</si>
  <si>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</si>
  <si>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</si>
  <si>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</si>
  <si>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</si>
  <si>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</si>
  <si>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</si>
  <si>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</si>
  <si>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</si>
  <si>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</si>
  <si>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</si>
  <si>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</si>
  <si>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</si>
  <si>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</si>
  <si>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</si>
  <si>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</si>
  <si>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</si>
  <si>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</si>
  <si>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</si>
  <si>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</si>
  <si>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</si>
  <si>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</si>
  <si>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</si>
  <si>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</si>
  <si>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</si>
  <si>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</si>
  <si>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</si>
  <si>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</si>
  <si>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</si>
  <si>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</si>
  <si>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</si>
  <si>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</si>
  <si>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</si>
  <si>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</si>
  <si>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</si>
  <si>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</si>
  <si>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</si>
  <si>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</si>
  <si>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</si>
  <si>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</si>
  <si>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</si>
  <si>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</si>
  <si>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</si>
  <si>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</si>
  <si>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</si>
  <si>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</si>
  <si>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</si>
  <si>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</si>
  <si>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</si>
  <si>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</si>
  <si>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</si>
  <si>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</si>
  <si>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</si>
  <si>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</si>
  <si>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</si>
  <si>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</si>
  <si>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</si>
  <si>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</si>
  <si>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</si>
  <si>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</si>
  <si>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</si>
  <si>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</si>
  <si>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</si>
  <si>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</si>
  <si>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</si>
  <si>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</si>
  <si>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</si>
  <si>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</si>
  <si>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</si>
  <si>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</si>
  <si>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</si>
  <si>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</si>
  <si>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</si>
  <si>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</si>
  <si>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</si>
  <si>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</si>
  <si>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</si>
  <si>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</si>
  <si>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</si>
  <si>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</si>
  <si>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</si>
  <si>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</si>
  <si>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</si>
  <si>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</si>
  <si>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</si>
  <si>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</si>
  <si>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</si>
  <si>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</si>
  <si>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</si>
  <si>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</si>
  <si>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</si>
  <si>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</si>
  <si>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</si>
  <si>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</si>
  <si>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</si>
  <si>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</si>
  <si>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</si>
  <si>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</si>
  <si>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</si>
  <si>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</si>
  <si>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</si>
  <si>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</si>
  <si>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</si>
  <si>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</si>
  <si>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</si>
  <si>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</si>
  <si>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</si>
  <si>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</si>
  <si>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</si>
  <si>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</si>
  <si>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</si>
  <si>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</si>
  <si>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</si>
  <si>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</si>
  <si>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</si>
  <si>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</si>
  <si>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</si>
  <si>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</si>
  <si>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</si>
  <si>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</si>
  <si>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</si>
  <si>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</si>
  <si>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</si>
  <si>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</si>
  <si>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</si>
  <si>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</si>
  <si>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</si>
  <si>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</si>
  <si>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</si>
  <si>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</si>
  <si>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</si>
  <si>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</si>
  <si>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</si>
  <si>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</si>
  <si>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</si>
  <si>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</si>
  <si>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</si>
  <si>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</si>
  <si>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</si>
  <si>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</si>
  <si>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</si>
  <si>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</si>
  <si>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</si>
  <si>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</si>
  <si>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</si>
  <si>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</si>
  <si>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</si>
  <si>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</si>
  <si>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</si>
  <si>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</si>
  <si>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</si>
  <si>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</si>
  <si>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</si>
  <si>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</si>
  <si>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</si>
  <si>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</si>
  <si>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</si>
  <si>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</si>
  <si>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</si>
  <si>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</si>
  <si>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</si>
  <si>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</si>
  <si>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</si>
  <si>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</si>
  <si>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</si>
  <si>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</si>
  <si>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</si>
  <si>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</si>
  <si>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</si>
  <si>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</si>
  <si>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</si>
  <si>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</si>
  <si>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</si>
  <si>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</si>
  <si>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</si>
  <si>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</si>
  <si>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</si>
  <si>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</si>
  <si>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</si>
  <si>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</si>
  <si>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</si>
  <si>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</si>
  <si>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</si>
  <si>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</si>
  <si>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</si>
  <si>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</si>
  <si>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</si>
  <si>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</si>
  <si>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</si>
  <si>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</si>
  <si>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</si>
  <si>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</si>
  <si>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</si>
  <si>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</si>
  <si>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</si>
  <si>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</si>
  <si>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</si>
  <si>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</si>
  <si>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</si>
  <si>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</si>
  <si>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</si>
  <si>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</si>
  <si>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</si>
  <si>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</si>
  <si>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</si>
  <si>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</si>
  <si>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</si>
  <si>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</si>
  <si>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</si>
  <si>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</si>
  <si>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</si>
  <si>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</si>
  <si>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</si>
  <si>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</si>
  <si>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</si>
  <si>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</si>
  <si>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</si>
  <si>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</si>
  <si>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</si>
  <si>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</si>
  <si>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</si>
  <si>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</si>
  <si>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</si>
  <si>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</si>
  <si>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</si>
  <si>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</si>
  <si>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</si>
  <si>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</si>
  <si>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</si>
  <si>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</si>
  <si>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</si>
  <si>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</si>
  <si>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</si>
  <si>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</si>
  <si>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</si>
  <si>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</si>
  <si>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</si>
  <si>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</si>
  <si>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</si>
  <si>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</si>
  <si>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</si>
  <si>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</si>
  <si>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</si>
  <si>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</si>
  <si>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</si>
  <si>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</si>
  <si>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</si>
  <si>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</si>
  <si>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</si>
  <si>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</si>
  <si>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</si>
  <si>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</si>
  <si>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</si>
  <si>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</si>
  <si>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</si>
  <si>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</si>
  <si>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</si>
  <si>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</si>
  <si>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</si>
  <si>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</si>
  <si>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</si>
  <si>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</si>
  <si>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</si>
  <si>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</si>
  <si>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</si>
  <si>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</si>
  <si>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</si>
  <si>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</si>
  <si>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</si>
  <si>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</si>
  <si>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</si>
  <si>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</si>
  <si>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</si>
  <si>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</si>
  <si>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</si>
  <si>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</si>
  <si>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</si>
  <si>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</si>
  <si>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</si>
  <si>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</si>
  <si>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</si>
  <si>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</si>
  <si>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</si>
  <si>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</si>
  <si>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</si>
  <si>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</si>
  <si>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</si>
  <si>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</si>
  <si>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</si>
  <si>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</si>
  <si>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</si>
  <si>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</si>
  <si>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</si>
  <si>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</si>
  <si>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</si>
  <si>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</si>
  <si>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</si>
  <si>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</si>
  <si>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</si>
  <si>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</si>
  <si>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</si>
  <si>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</si>
  <si>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</si>
  <si>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</si>
  <si>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</si>
  <si>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</si>
  <si>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</si>
  <si>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</si>
  <si>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</si>
  <si>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</si>
  <si>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</si>
  <si>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</si>
  <si>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</si>
  <si>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</si>
  <si>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</si>
  <si>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</si>
  <si>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</si>
  <si>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</si>
  <si>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</si>
  <si>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</si>
  <si>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</si>
  <si>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</si>
  <si>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</si>
  <si>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</si>
  <si>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</si>
  <si>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</si>
  <si>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</si>
  <si>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</si>
  <si>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</si>
  <si>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</si>
  <si>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</si>
  <si>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</si>
  <si>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</si>
  <si>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</si>
  <si>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</si>
  <si>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</si>
  <si>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</si>
  <si>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</si>
  <si>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</si>
  <si>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</si>
  <si>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</si>
  <si>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</si>
  <si>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</si>
  <si>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</si>
  <si>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</si>
  <si>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</si>
  <si>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</si>
  <si>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</si>
  <si>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</si>
  <si>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</si>
  <si>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</si>
  <si>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</si>
  <si>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</si>
  <si>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</si>
  <si>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</si>
  <si>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</si>
  <si>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</si>
  <si>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</si>
  <si>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</si>
  <si>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</si>
  <si>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</si>
  <si>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</si>
  <si>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</si>
  <si>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</si>
  <si>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</si>
  <si>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</si>
  <si>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</si>
  <si>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</si>
  <si>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</si>
  <si>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</si>
  <si>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</si>
  <si>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</si>
  <si>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</si>
  <si>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</si>
  <si>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</si>
  <si>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</si>
  <si>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</si>
  <si>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</si>
  <si>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</si>
  <si>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</si>
  <si>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</si>
  <si>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</si>
  <si>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</si>
  <si>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</si>
  <si>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</si>
  <si>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</si>
  <si>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</si>
  <si>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</si>
  <si>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</si>
  <si>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</si>
  <si>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</si>
  <si>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</si>
  <si>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</si>
  <si>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</si>
  <si>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</si>
  <si>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</si>
  <si>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</si>
  <si>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</si>
  <si>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</si>
  <si>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</si>
  <si>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</si>
  <si>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</si>
  <si>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</si>
  <si>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</si>
  <si>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</si>
  <si>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</si>
  <si>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</si>
  <si>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</si>
  <si>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</si>
  <si>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</si>
  <si>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</si>
  <si>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</si>
  <si>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</si>
  <si>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</si>
  <si>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</si>
  <si>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</si>
  <si>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</si>
  <si>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</si>
  <si>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</si>
  <si>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</si>
  <si>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</si>
  <si>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</si>
  <si>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</si>
  <si>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</si>
  <si>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</si>
  <si>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</si>
  <si>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</si>
  <si>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</si>
  <si>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</si>
  <si>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</si>
  <si>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</si>
  <si>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</si>
  <si>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</si>
  <si>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</si>
  <si>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</si>
  <si>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</si>
  <si>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</si>
  <si>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</si>
  <si>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</si>
  <si>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</si>
  <si>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</si>
  <si>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</si>
  <si>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</si>
  <si>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</si>
  <si>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</si>
  <si>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</si>
  <si>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</si>
  <si>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</si>
  <si>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</si>
  <si>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</si>
  <si>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</si>
  <si>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</si>
  <si>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</si>
  <si>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</si>
  <si>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</si>
  <si>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</si>
  <si>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</si>
  <si>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</si>
  <si>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</si>
  <si>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</si>
  <si>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</si>
  <si>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</si>
  <si>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</si>
  <si>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</si>
  <si>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</si>
  <si>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</si>
  <si>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</si>
  <si>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</si>
  <si>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</si>
  <si>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</si>
  <si>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</si>
  <si>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</si>
  <si>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</si>
  <si>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</si>
  <si>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</si>
  <si>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</si>
  <si>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</si>
  <si>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</si>
  <si>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</si>
  <si>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</si>
  <si>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</si>
  <si>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</si>
  <si>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</si>
  <si>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</si>
  <si>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</si>
  <si>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</si>
  <si>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</si>
  <si>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</si>
  <si>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</si>
  <si>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</si>
  <si>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</si>
  <si>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</si>
  <si>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</si>
  <si>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</si>
  <si>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</si>
  <si>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</si>
  <si>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</si>
  <si>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</si>
  <si>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</si>
  <si>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</si>
  <si>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</si>
  <si>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0" type="noConversion"/>
  </si>
  <si>
    <t>Longitude:</t>
    <phoneticPr fontId="1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</si>
  <si>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</si>
  <si>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</si>
  <si>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</si>
  <si>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</si>
  <si>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</si>
  <si>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</si>
  <si>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</si>
  <si>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</si>
  <si>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</si>
  <si>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</si>
  <si>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</si>
  <si>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</si>
  <si>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</si>
  <si>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</si>
  <si>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</si>
  <si>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</si>
  <si>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</si>
  <si>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</si>
  <si>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</si>
  <si>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</si>
  <si>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</si>
  <si>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</si>
  <si>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</si>
  <si>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</si>
  <si>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</si>
  <si>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</si>
  <si>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</si>
  <si>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</si>
  <si>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</si>
  <si>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</si>
  <si>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</si>
  <si>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</si>
  <si>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</si>
  <si>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</si>
  <si>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</si>
  <si>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</si>
  <si>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</si>
  <si>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</si>
  <si>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</si>
  <si>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</si>
  <si>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</si>
  <si>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</si>
  <si>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</si>
  <si>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</si>
  <si>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</si>
  <si>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</si>
  <si>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</si>
  <si>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see field data sheet</t>
  </si>
  <si>
    <t>Exotic Lonicera spp.</t>
  </si>
  <si>
    <t>D3b, D1-2r, C1-2b</t>
  </si>
  <si>
    <t>H1-3</t>
  </si>
  <si>
    <t>Viola sp.</t>
  </si>
  <si>
    <t>G1-3i</t>
  </si>
  <si>
    <t>Carex sp.</t>
  </si>
  <si>
    <t>LBRP82022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</si>
</sst>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13" fillId="0" borderId="0"/>
    <xf numFmtId="0" fontId="18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20" fillId="0" borderId="17" applyNumberFormat="0" applyFill="0" applyAlignment="0" applyProtection="0"/>
    <xf numFmtId="0" fontId="21" fillId="0" borderId="1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19" applyNumberFormat="0" applyAlignment="0" applyProtection="0"/>
    <xf numFmtId="0" fontId="26" fillId="6" borderId="20" applyNumberFormat="0" applyAlignment="0" applyProtection="0"/>
    <xf numFmtId="0" fontId="27" fillId="6" borderId="19" applyNumberFormat="0" applyAlignment="0" applyProtection="0"/>
    <xf numFmtId="0" fontId="28" fillId="0" borderId="21" applyNumberFormat="0" applyFill="0" applyAlignment="0" applyProtection="0"/>
    <xf numFmtId="0" fontId="29" fillId="7" borderId="2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24" applyNumberFormat="0" applyFill="0" applyAlignment="0" applyProtection="0"/>
    <xf numFmtId="0" fontId="3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33" fillId="32" borderId="0" applyNumberFormat="0" applyBorder="0" applyAlignment="0" applyProtection="0"/>
    <xf numFmtId="0" fontId="35" fillId="0" borderId="0"/>
    <xf numFmtId="0" fontId="13" fillId="0" borderId="0"/>
    <xf numFmtId="0" fontId="7" fillId="0" borderId="0"/>
    <xf numFmtId="0" fontId="7" fillId="8" borderId="23" applyNumberFormat="0" applyFont="0" applyAlignment="0" applyProtection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40" fillId="0" borderId="0"/>
    <xf numFmtId="0" fontId="6" fillId="0" borderId="0"/>
    <xf numFmtId="0" fontId="6" fillId="8" borderId="23" applyNumberFormat="0" applyFont="0" applyAlignment="0" applyProtection="0"/>
    <xf numFmtId="0" fontId="13" fillId="0" borderId="0"/>
  </cellStyleXfs>
  <cellXfs count="161">
    <xf numFmtId="0" fontId="0" fillId="0" borderId="0" xfId="0"/>
    <xf numFmtId="0" fontId="8" fillId="0" borderId="0" xfId="0" applyFont="1"/>
    <xf numFmtId="0" fontId="1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3" fillId="0" borderId="0" xfId="0" applyFont="1"/>
    <xf numFmtId="0" fontId="13" fillId="0" borderId="0" xfId="1"/>
    <xf numFmtId="0" fontId="12" fillId="0" borderId="0" xfId="1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9" fillId="0" borderId="0" xfId="0" applyFont="1" applyFill="1" applyBorder="1" applyAlignment="1">
      <alignment horizontal="center"/>
    </xf>
    <xf numFmtId="14" fontId="13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6" fillId="0" borderId="0" xfId="0" applyFont="1"/>
    <xf numFmtId="0" fontId="17" fillId="0" borderId="0" xfId="0" applyFont="1" applyAlignment="1">
      <alignment vertical="center"/>
    </xf>
    <xf numFmtId="0" fontId="13" fillId="0" borderId="0" xfId="0" applyFont="1" applyAlignment="1"/>
    <xf numFmtId="0" fontId="0" fillId="0" borderId="0" xfId="0" applyBorder="1"/>
    <xf numFmtId="0" fontId="8" fillId="0" borderId="15" xfId="0" applyFont="1" applyBorder="1"/>
    <xf numFmtId="0" fontId="0" fillId="0" borderId="0" xfId="0"/>
    <xf numFmtId="0" fontId="0" fillId="0" borderId="0" xfId="0"/>
    <xf numFmtId="0" fontId="34" fillId="0" borderId="25" xfId="0" applyFont="1" applyBorder="1"/>
    <xf numFmtId="0" fontId="34" fillId="0" borderId="25" xfId="0" applyFont="1" applyFill="1" applyBorder="1"/>
    <xf numFmtId="0" fontId="34" fillId="0" borderId="25" xfId="0" applyNumberFormat="1" applyFont="1" applyBorder="1"/>
    <xf numFmtId="0" fontId="35" fillId="0" borderId="0" xfId="0" applyFont="1" applyFill="1"/>
    <xf numFmtId="0" fontId="0" fillId="0" borderId="0" xfId="0" quotePrefix="1" applyNumberFormat="1"/>
    <xf numFmtId="0" fontId="35" fillId="0" borderId="0" xfId="0" quotePrefix="1" applyNumberFormat="1" applyFont="1"/>
    <xf numFmtId="0" fontId="0" fillId="0" borderId="0" xfId="0" applyNumberFormat="1"/>
    <xf numFmtId="0" fontId="35" fillId="0" borderId="0" xfId="0" applyFont="1"/>
    <xf numFmtId="0" fontId="35" fillId="0" borderId="0" xfId="0" quotePrefix="1" applyNumberFormat="1" applyFont="1" applyFill="1"/>
    <xf numFmtId="0" fontId="36" fillId="0" borderId="0" xfId="0" applyFont="1"/>
    <xf numFmtId="0" fontId="8" fillId="0" borderId="15" xfId="1" applyFont="1" applyFill="1" applyBorder="1"/>
    <xf numFmtId="0" fontId="13" fillId="0" borderId="0" xfId="0" applyFont="1" applyAlignment="1">
      <alignment vertical="center"/>
    </xf>
    <xf numFmtId="0" fontId="0" fillId="0" borderId="15" xfId="0" applyBorder="1"/>
    <xf numFmtId="0" fontId="13" fillId="0" borderId="0" xfId="1"/>
    <xf numFmtId="0" fontId="13" fillId="0" borderId="0" xfId="1" applyFont="1"/>
    <xf numFmtId="0" fontId="8" fillId="0" borderId="0" xfId="1" applyFont="1"/>
    <xf numFmtId="0" fontId="8" fillId="0" borderId="15" xfId="1" applyFont="1" applyBorder="1"/>
    <xf numFmtId="0" fontId="13" fillId="0" borderId="0" xfId="1" applyBorder="1"/>
    <xf numFmtId="0" fontId="8" fillId="0" borderId="0" xfId="1" applyFont="1" applyFill="1"/>
    <xf numFmtId="0" fontId="38" fillId="0" borderId="26" xfId="0" applyFont="1" applyBorder="1"/>
    <xf numFmtId="0" fontId="38" fillId="0" borderId="25" xfId="0" applyFont="1" applyBorder="1"/>
    <xf numFmtId="0" fontId="38" fillId="0" borderId="27" xfId="0" applyFont="1" applyBorder="1"/>
    <xf numFmtId="0" fontId="37" fillId="0" borderId="28" xfId="0" applyFont="1" applyBorder="1" applyAlignment="1">
      <alignment horizontal="center"/>
    </xf>
    <xf numFmtId="0" fontId="39" fillId="0" borderId="28" xfId="0" applyFont="1" applyBorder="1" applyAlignment="1">
      <alignment horizontal="center"/>
    </xf>
    <xf numFmtId="0" fontId="3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6" fillId="0" borderId="0" xfId="46"/>
    <xf numFmtId="0" fontId="35" fillId="0" borderId="0" xfId="59" applyFont="1" applyFill="1"/>
    <xf numFmtId="0" fontId="13" fillId="0" borderId="15" xfId="0" applyFont="1" applyBorder="1" applyAlignment="1">
      <alignment vertical="center"/>
    </xf>
    <xf numFmtId="0" fontId="13" fillId="0" borderId="30" xfId="1" applyBorder="1"/>
    <xf numFmtId="0" fontId="13" fillId="0" borderId="15" xfId="1" applyFont="1" applyBorder="1"/>
    <xf numFmtId="0" fontId="13" fillId="0" borderId="0" xfId="0" applyFont="1"/>
    <xf numFmtId="0" fontId="8" fillId="0" borderId="0" xfId="0" applyFont="1"/>
    <xf numFmtId="0" fontId="0" fillId="0" borderId="0" xfId="0"/>
    <xf numFmtId="0" fontId="0" fillId="0" borderId="0" xfId="0"/>
    <xf numFmtId="0" fontId="8" fillId="0" borderId="0" xfId="0" applyFont="1" applyAlignment="1">
      <alignment horizontal="right"/>
    </xf>
    <xf numFmtId="0" fontId="8" fillId="0" borderId="0" xfId="0" applyFont="1" applyAlignment="1"/>
    <xf numFmtId="0" fontId="1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3" fillId="0" borderId="0" xfId="1" applyNumberFormat="1" applyFont="1"/>
    <xf numFmtId="0" fontId="13" fillId="0" borderId="0" xfId="1" applyBorder="1"/>
    <xf numFmtId="0" fontId="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8" fillId="0" borderId="0" xfId="1" applyFont="1" applyFill="1"/>
    <xf numFmtId="0" fontId="0" fillId="0" borderId="0" xfId="0"/>
    <xf numFmtId="0" fontId="8" fillId="0" borderId="0" xfId="1" applyFont="1"/>
    <xf numFmtId="0" fontId="0" fillId="0" borderId="0" xfId="0"/>
    <xf numFmtId="0" fontId="8" fillId="0" borderId="0" xfId="1" applyFont="1"/>
    <xf numFmtId="0" fontId="13" fillId="0" borderId="0" xfId="1" applyFont="1" applyFill="1"/>
    <xf numFmtId="0" fontId="13" fillId="34" borderId="0" xfId="1" applyFill="1" applyBorder="1"/>
    <xf numFmtId="0" fontId="13" fillId="34" borderId="0" xfId="0" applyFont="1" applyFill="1"/>
    <xf numFmtId="0" fontId="13" fillId="34" borderId="15" xfId="0" applyFont="1" applyFill="1" applyBorder="1"/>
    <xf numFmtId="0" fontId="0" fillId="0" borderId="0" xfId="0"/>
    <xf numFmtId="2" fontId="13" fillId="0" borderId="26" xfId="0" applyNumberFormat="1" applyFont="1" applyBorder="1"/>
    <xf numFmtId="2" fontId="13" fillId="0" borderId="32" xfId="0" applyNumberFormat="1" applyFont="1" applyBorder="1" applyAlignment="1">
      <alignment horizontal="center"/>
    </xf>
    <xf numFmtId="2" fontId="13" fillId="0" borderId="25" xfId="0" applyNumberFormat="1" applyFont="1" applyBorder="1"/>
    <xf numFmtId="2" fontId="13" fillId="0" borderId="27" xfId="0" applyNumberFormat="1" applyFont="1" applyBorder="1"/>
    <xf numFmtId="0" fontId="0" fillId="0" borderId="0" xfId="0"/>
    <xf numFmtId="0" fontId="13" fillId="35" borderId="0" xfId="0" applyFont="1" applyFill="1" applyAlignment="1">
      <alignment vertical="center"/>
    </xf>
    <xf numFmtId="0" fontId="13" fillId="35" borderId="0" xfId="1" applyFont="1" applyFill="1"/>
    <xf numFmtId="2" fontId="13" fillId="0" borderId="25" xfId="0" applyNumberFormat="1" applyFont="1" applyFill="1" applyBorder="1"/>
    <xf numFmtId="2" fontId="13" fillId="36" borderId="25" xfId="0" applyNumberFormat="1" applyFont="1" applyFill="1" applyBorder="1"/>
    <xf numFmtId="2" fontId="13" fillId="36" borderId="27" xfId="0" applyNumberFormat="1" applyFont="1" applyFill="1" applyBorder="1"/>
    <xf numFmtId="0" fontId="13" fillId="0" borderId="0" xfId="0" applyFont="1"/>
    <xf numFmtId="0" fontId="13" fillId="0" borderId="25" xfId="1" applyBorder="1"/>
    <xf numFmtId="0" fontId="13" fillId="0" borderId="25" xfId="0" applyFont="1" applyBorder="1"/>
    <xf numFmtId="0" fontId="13" fillId="0" borderId="25" xfId="1" applyBorder="1" applyAlignment="1">
      <alignment horizontal="center"/>
    </xf>
    <xf numFmtId="0" fontId="13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5" fillId="0" borderId="0" xfId="46" applyFont="1"/>
    <xf numFmtId="0" fontId="0" fillId="0" borderId="0" xfId="0"/>
    <xf numFmtId="0" fontId="4" fillId="0" borderId="0" xfId="46" applyFont="1"/>
    <xf numFmtId="0" fontId="0" fillId="0" borderId="0" xfId="0"/>
    <xf numFmtId="0" fontId="42" fillId="0" borderId="34" xfId="0" applyFont="1" applyBorder="1" applyAlignment="1">
      <alignment wrapText="1"/>
    </xf>
    <xf numFmtId="0" fontId="3" fillId="0" borderId="0" xfId="46" applyFont="1"/>
    <xf numFmtId="0" fontId="0" fillId="0" borderId="0" xfId="0" quotePrefix="1" applyNumberFormat="1" applyFont="1"/>
    <xf numFmtId="0" fontId="2" fillId="0" borderId="0" xfId="46" applyFont="1"/>
    <xf numFmtId="0" fontId="0" fillId="0" borderId="0" xfId="0" applyFont="1"/>
    <xf numFmtId="0" fontId="0" fillId="0" borderId="0" xfId="0" applyNumberFormat="1" applyFont="1"/>
    <xf numFmtId="0" fontId="9" fillId="0" borderId="25" xfId="1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26" xfId="1" applyFont="1" applyBorder="1" applyAlignment="1">
      <alignment horizontal="left"/>
    </xf>
    <xf numFmtId="0" fontId="9" fillId="0" borderId="25" xfId="1" applyFont="1" applyBorder="1"/>
    <xf numFmtId="0" fontId="9" fillId="0" borderId="25" xfId="0" applyFont="1" applyBorder="1"/>
    <xf numFmtId="0" fontId="9" fillId="0" borderId="26" xfId="1" applyFont="1" applyBorder="1"/>
    <xf numFmtId="0" fontId="9" fillId="0" borderId="33" xfId="1" applyFont="1" applyBorder="1"/>
    <xf numFmtId="0" fontId="9" fillId="0" borderId="0" xfId="1" applyFont="1"/>
    <xf numFmtId="0" fontId="9" fillId="0" borderId="35" xfId="1" applyFont="1" applyBorder="1"/>
    <xf numFmtId="0" fontId="13" fillId="0" borderId="25" xfId="1" applyBorder="1" applyAlignment="1">
      <alignment horizontal="left"/>
    </xf>
    <xf numFmtId="0" fontId="13" fillId="0" borderId="26" xfId="1" applyBorder="1" applyAlignment="1">
      <alignment horizontal="left"/>
    </xf>
    <xf numFmtId="0" fontId="9" fillId="0" borderId="33" xfId="1" applyFont="1" applyBorder="1" applyAlignment="1">
      <alignment horizontal="left"/>
    </xf>
    <xf numFmtId="0" fontId="1" fillId="0" borderId="0" xfId="46" applyFont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/>
    <xf numFmtId="0" fontId="8" fillId="0" borderId="10" xfId="0" applyFont="1" applyBorder="1" applyAlignment="1">
      <alignment horizontal="center"/>
    </xf>
    <xf numFmtId="0" fontId="8" fillId="0" borderId="0" xfId="1" applyFont="1" applyFill="1"/>
    <xf numFmtId="0" fontId="0" fillId="0" borderId="0" xfId="0"/>
    <xf numFmtId="0" fontId="8" fillId="0" borderId="0" xfId="1" applyFont="1"/>
    <xf numFmtId="0" fontId="12" fillId="0" borderId="0" xfId="1" applyFont="1"/>
    <xf numFmtId="0" fontId="15" fillId="0" borderId="0" xfId="1" applyFont="1" applyAlignment="1">
      <alignment horizontal="center"/>
    </xf>
    <xf numFmtId="0" fontId="13" fillId="0" borderId="0" xfId="1" applyFont="1" applyFill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37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7" t="s">
        <v>57</v>
      </c>
      <c r="B2" s="147"/>
      <c r="C2" s="147"/>
      <c r="D2" s="147"/>
      <c r="E2" s="147"/>
    </row>
    <row r="3" spans="1:5" x14ac:dyDescent="0.2">
      <c r="A3" s="69" t="s">
        <v>56</v>
      </c>
      <c r="B3" s="65" t="s">
        <v>5441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5381</v>
      </c>
      <c r="B12" s="65" t="s">
        <v>5382</v>
      </c>
      <c r="C12" s="65"/>
      <c r="D12" s="65"/>
      <c r="E12" s="65"/>
    </row>
    <row r="13" spans="1:5" x14ac:dyDescent="0.2">
      <c r="A13" s="69" t="s">
        <v>5383</v>
      </c>
      <c r="B13" s="65"/>
      <c r="C13" s="65"/>
      <c r="D13" s="65"/>
      <c r="E13" s="65"/>
    </row>
    <row r="14" spans="1:5" x14ac:dyDescent="0.2">
      <c r="A14" s="69" t="s">
        <v>5384</v>
      </c>
      <c r="B14" s="65"/>
      <c r="C14" s="65"/>
      <c r="D14" s="65"/>
      <c r="E14" s="65"/>
    </row>
    <row r="15" spans="1:5" x14ac:dyDescent="0.2">
      <c r="A15" s="69" t="s">
        <v>5385</v>
      </c>
      <c r="B15" s="28"/>
      <c r="C15" s="67"/>
      <c r="D15" s="28"/>
      <c r="E15" s="28"/>
    </row>
    <row r="16" spans="1:5" x14ac:dyDescent="0.2">
      <c r="A16" s="69" t="s">
        <v>5386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5387</v>
      </c>
      <c r="B18" s="65"/>
      <c r="C18" s="67"/>
      <c r="D18" s="65"/>
      <c r="E18" s="65"/>
    </row>
    <row r="19" spans="1:5" x14ac:dyDescent="0.2">
      <c r="A19" s="69" t="s">
        <v>5388</v>
      </c>
      <c r="B19" s="70"/>
      <c r="C19" s="65"/>
      <c r="D19" s="65"/>
      <c r="E19" s="65"/>
    </row>
    <row r="20" spans="1:5" x14ac:dyDescent="0.2">
      <c r="A20" s="25" t="s">
        <v>5389</v>
      </c>
      <c r="B20" s="65"/>
      <c r="C20" s="67"/>
      <c r="D20" s="65"/>
      <c r="E20" s="65"/>
    </row>
    <row r="21" spans="1:5" x14ac:dyDescent="0.2">
      <c r="A21" s="25" t="s">
        <v>5390</v>
      </c>
      <c r="B21" s="28"/>
      <c r="C21" s="28"/>
      <c r="D21" s="28"/>
      <c r="E21" s="28"/>
    </row>
    <row r="22" spans="1:5" x14ac:dyDescent="0.2">
      <c r="A22" s="149" t="s">
        <v>5391</v>
      </c>
      <c r="B22" s="149"/>
      <c r="C22" s="149"/>
      <c r="D22" s="149"/>
      <c r="E22" s="14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8" t="s">
        <v>5392</v>
      </c>
      <c r="B24" s="148"/>
      <c r="C24" s="148"/>
      <c r="D24" s="148"/>
      <c r="E24" s="14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5393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5394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5395</v>
      </c>
      <c r="B38" s="66"/>
      <c r="C38" s="65"/>
      <c r="D38" s="65"/>
      <c r="E38" s="65"/>
    </row>
    <row r="39" spans="1:5" ht="14.25" x14ac:dyDescent="0.2">
      <c r="A39" s="148" t="s">
        <v>61</v>
      </c>
      <c r="B39" s="148"/>
      <c r="C39" s="148"/>
      <c r="D39" s="148"/>
      <c r="E39" s="148"/>
    </row>
    <row r="40" spans="1:5" x14ac:dyDescent="0.2">
      <c r="A40" s="69" t="s">
        <v>5396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5397</v>
      </c>
      <c r="B44" s="70"/>
      <c r="C44" s="70"/>
      <c r="D44" s="70"/>
      <c r="E44" s="70"/>
    </row>
    <row r="45" spans="1:5" ht="12" customHeight="1" x14ac:dyDescent="0.2">
      <c r="A45" s="148" t="s">
        <v>62</v>
      </c>
      <c r="B45" s="148"/>
      <c r="C45" s="148"/>
      <c r="D45" s="148"/>
      <c r="E45" s="14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5398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5399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5400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5401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5402</v>
      </c>
      <c r="B75" s="65" t="s">
        <v>5403</v>
      </c>
      <c r="C75" s="65"/>
      <c r="D75" s="65"/>
      <c r="E75" s="65"/>
    </row>
    <row r="76" spans="1:5" x14ac:dyDescent="0.2">
      <c r="A76" s="69" t="s">
        <v>5404</v>
      </c>
      <c r="B76" s="65" t="s">
        <v>5403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5405</v>
      </c>
      <c r="B79" s="65" t="s">
        <v>5406</v>
      </c>
      <c r="C79" s="65"/>
      <c r="D79" s="65"/>
      <c r="E79" s="65"/>
    </row>
    <row r="80" spans="1:5" x14ac:dyDescent="0.2">
      <c r="A80" s="69" t="s">
        <v>5407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3" t="s">
        <v>43</v>
      </c>
      <c r="B93" s="144"/>
      <c r="C93" s="146"/>
      <c r="D93" s="150" t="s">
        <v>44</v>
      </c>
      <c r="E93" s="145"/>
    </row>
    <row r="94" spans="1:5" x14ac:dyDescent="0.2">
      <c r="A94" s="73" t="s">
        <v>23</v>
      </c>
      <c r="B94" s="141" t="s">
        <v>30</v>
      </c>
      <c r="C94" s="142"/>
      <c r="D94" s="3" t="s">
        <v>46</v>
      </c>
      <c r="E94" s="9">
        <v>8</v>
      </c>
    </row>
    <row r="95" spans="1:5" x14ac:dyDescent="0.2">
      <c r="A95" s="73" t="s">
        <v>24</v>
      </c>
      <c r="B95" s="137" t="s">
        <v>31</v>
      </c>
      <c r="C95" s="138"/>
      <c r="D95" s="3" t="s">
        <v>47</v>
      </c>
      <c r="E95" s="9">
        <v>7</v>
      </c>
    </row>
    <row r="96" spans="1:5" x14ac:dyDescent="0.2">
      <c r="A96" s="73" t="s">
        <v>3</v>
      </c>
      <c r="B96" s="137" t="s">
        <v>32</v>
      </c>
      <c r="C96" s="138"/>
      <c r="D96" s="3" t="s">
        <v>48</v>
      </c>
      <c r="E96" s="9">
        <v>6</v>
      </c>
    </row>
    <row r="97" spans="1:5" x14ac:dyDescent="0.2">
      <c r="A97" s="73" t="s">
        <v>25</v>
      </c>
      <c r="B97" s="137" t="s">
        <v>33</v>
      </c>
      <c r="C97" s="138"/>
      <c r="D97" s="3" t="s">
        <v>49</v>
      </c>
      <c r="E97" s="9">
        <v>5</v>
      </c>
    </row>
    <row r="98" spans="1:5" x14ac:dyDescent="0.2">
      <c r="A98" s="73" t="s">
        <v>26</v>
      </c>
      <c r="B98" s="137" t="s">
        <v>34</v>
      </c>
      <c r="C98" s="138"/>
      <c r="D98" s="3" t="s">
        <v>50</v>
      </c>
      <c r="E98" s="9">
        <v>4</v>
      </c>
    </row>
    <row r="99" spans="1:5" x14ac:dyDescent="0.2">
      <c r="A99" s="73" t="s">
        <v>27</v>
      </c>
      <c r="B99" s="137" t="s">
        <v>35</v>
      </c>
      <c r="C99" s="138"/>
      <c r="D99" s="3" t="s">
        <v>4</v>
      </c>
      <c r="E99" s="9">
        <v>3</v>
      </c>
    </row>
    <row r="100" spans="1:5" x14ac:dyDescent="0.2">
      <c r="A100" s="73" t="s">
        <v>2</v>
      </c>
      <c r="B100" s="137" t="s">
        <v>36</v>
      </c>
      <c r="C100" s="138"/>
      <c r="D100" s="3" t="s">
        <v>5</v>
      </c>
      <c r="E100" s="9">
        <v>2</v>
      </c>
    </row>
    <row r="101" spans="1:5" x14ac:dyDescent="0.2">
      <c r="A101" s="73" t="s">
        <v>28</v>
      </c>
      <c r="B101" s="137" t="s">
        <v>37</v>
      </c>
      <c r="C101" s="13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9" t="s">
        <v>38</v>
      </c>
      <c r="C102" s="140"/>
      <c r="D102" s="5"/>
      <c r="E102" s="8"/>
    </row>
    <row r="103" spans="1:5" ht="13.5" thickBot="1" x14ac:dyDescent="0.25">
      <c r="A103" s="143" t="s">
        <v>68</v>
      </c>
      <c r="B103" s="144"/>
      <c r="C103" s="146"/>
      <c r="D103" s="150" t="s">
        <v>45</v>
      </c>
      <c r="E103" s="145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3" t="s">
        <v>21</v>
      </c>
      <c r="B112" s="144"/>
      <c r="C112" s="145"/>
    </row>
    <row r="113" spans="1:3" x14ac:dyDescent="0.2">
      <c r="A113" s="73">
        <v>1</v>
      </c>
      <c r="B113" s="141" t="s">
        <v>40</v>
      </c>
      <c r="C113" s="142"/>
    </row>
    <row r="114" spans="1:3" x14ac:dyDescent="0.2">
      <c r="A114" s="73" t="s">
        <v>39</v>
      </c>
      <c r="B114" s="137" t="s">
        <v>41</v>
      </c>
      <c r="C114" s="138"/>
    </row>
    <row r="115" spans="1:3" x14ac:dyDescent="0.2">
      <c r="A115" s="74" t="s">
        <v>15</v>
      </c>
      <c r="B115" s="135" t="s">
        <v>42</v>
      </c>
      <c r="C115" s="13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7" t="s">
        <v>127</v>
      </c>
      <c r="B1" s="147"/>
      <c r="C1" s="147"/>
      <c r="D1" s="147"/>
      <c r="E1" s="147"/>
      <c r="F1" s="147"/>
      <c r="G1" s="147"/>
      <c r="H1" s="14"/>
    </row>
    <row r="2" spans="1:14" x14ac:dyDescent="0.2">
      <c r="A2" s="153" t="s">
        <v>138</v>
      </c>
      <c r="B2" s="153"/>
      <c r="C2" s="15"/>
      <c r="D2" s="15"/>
      <c r="E2" s="15"/>
      <c r="F2" s="15"/>
      <c r="G2" s="15"/>
      <c r="H2" s="15"/>
    </row>
    <row r="3" spans="1:14" x14ac:dyDescent="0.2">
      <c r="A3" s="154" t="s">
        <v>52</v>
      </c>
      <c r="B3" s="154"/>
      <c r="C3" s="15"/>
      <c r="D3" s="15"/>
      <c r="E3" s="15"/>
      <c r="F3" s="15"/>
      <c r="G3" s="15"/>
      <c r="H3" s="15"/>
    </row>
    <row r="4" spans="1:14" x14ac:dyDescent="0.2">
      <c r="A4" s="154" t="s">
        <v>55</v>
      </c>
      <c r="B4" s="154"/>
      <c r="C4" s="15"/>
      <c r="D4" s="15"/>
      <c r="E4" s="15"/>
      <c r="F4" s="15"/>
      <c r="G4" s="15"/>
      <c r="H4" s="15"/>
    </row>
    <row r="5" spans="1:14" x14ac:dyDescent="0.2">
      <c r="A5" s="154" t="s">
        <v>51</v>
      </c>
      <c r="B5" s="154"/>
      <c r="C5" s="15"/>
      <c r="D5" s="15"/>
      <c r="E5" s="15"/>
      <c r="F5" s="15"/>
      <c r="G5" s="15"/>
      <c r="H5" s="15"/>
    </row>
    <row r="6" spans="1:14" x14ac:dyDescent="0.2">
      <c r="A6" s="151" t="s">
        <v>128</v>
      </c>
      <c r="B6" s="151"/>
    </row>
    <row r="7" spans="1:14" x14ac:dyDescent="0.2">
      <c r="A7" s="151" t="s">
        <v>129</v>
      </c>
      <c r="B7" s="151"/>
      <c r="C7" s="152"/>
      <c r="D7" s="152"/>
      <c r="E7" s="152"/>
      <c r="F7" s="15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571" zoomScale="70" zoomScaleNormal="70" workbookViewId="0">
      <selection activeCell="D594" sqref="D594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5410</v>
      </c>
      <c r="I2" s="42" t="s">
        <v>4828</v>
      </c>
      <c r="J2" s="42">
        <v>0.5</v>
      </c>
      <c r="K2" s="42"/>
      <c r="L2" s="42"/>
      <c r="M2" s="42"/>
      <c r="N2" s="13" t="s">
        <v>5379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5408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5409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5374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5375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5431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34" t="s">
        <v>5447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5427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5380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5380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5376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4" t="s">
        <v>5435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9" t="s">
        <v>5440</v>
      </c>
      <c r="C1120" s="39">
        <v>0</v>
      </c>
      <c r="D1120" s="120" t="s">
        <v>149</v>
      </c>
      <c r="E1120" s="121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7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7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7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7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7" ht="15" x14ac:dyDescent="0.25">
      <c r="A1141" s="60" t="s">
        <v>4964</v>
      </c>
      <c r="C1141" s="32"/>
      <c r="E1141" s="32"/>
      <c r="F1141" s="32"/>
    </row>
    <row r="1142" spans="1:7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7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7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7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7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7" ht="15" x14ac:dyDescent="0.25">
      <c r="A1147" s="60" t="s">
        <v>4965</v>
      </c>
      <c r="C1147" s="32"/>
      <c r="E1147" s="32"/>
      <c r="F1147" s="32"/>
    </row>
    <row r="1148" spans="1:7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7" s="36" customFormat="1" x14ac:dyDescent="0.2">
      <c r="A1149" s="36" t="s">
        <v>5428</v>
      </c>
    </row>
    <row r="1150" spans="1:7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7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7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3" customFormat="1" ht="15.75" thickBot="1" x14ac:dyDescent="0.3">
      <c r="A1186" s="116" t="s">
        <v>5436</v>
      </c>
      <c r="C1186" s="113">
        <v>0</v>
      </c>
      <c r="D1186" s="113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60" t="s">
        <v>4985</v>
      </c>
      <c r="C1288" s="32"/>
      <c r="E1288" s="32"/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4986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4987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4988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4989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4990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4991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4992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4993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4994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4995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4996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4997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4998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4999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5000</v>
      </c>
      <c r="C1370" s="32"/>
      <c r="E1370" s="32"/>
      <c r="F1370" s="32"/>
    </row>
    <row r="1371" spans="1:10" ht="15" x14ac:dyDescent="0.25">
      <c r="A1371" s="60" t="s">
        <v>5001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5002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5003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5004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5005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5006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5007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5008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5009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5010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5011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5012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5013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5014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5015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5016</v>
      </c>
      <c r="C1442" s="32"/>
      <c r="E1442" s="32"/>
      <c r="F1442" s="32"/>
    </row>
    <row r="1443" spans="1:7" ht="15" x14ac:dyDescent="0.25">
      <c r="A1443" s="60" t="s">
        <v>5017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5018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5019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5020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5021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5022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5023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5024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5025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5026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5027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5028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5029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5030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5031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5032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5033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5034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5035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5036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5037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5038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5039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5040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5041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5042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5043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5044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5045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5046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5047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5048</v>
      </c>
      <c r="C1572" s="32"/>
      <c r="E1572" s="32"/>
      <c r="F1572" s="32"/>
    </row>
    <row r="1573" spans="1:7" ht="15" x14ac:dyDescent="0.25">
      <c r="A1573" s="60" t="s">
        <v>5049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5050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5051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5052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5053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5054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5055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5056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5057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5058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5059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5060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5061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5062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5063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5064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5065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5066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5067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5068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5069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5070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5071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5072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5073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5074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5075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5076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5077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5078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5079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5080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5081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5082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5083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5084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5085</v>
      </c>
      <c r="C1726" s="32"/>
      <c r="E1726" s="32"/>
      <c r="F1726" s="32"/>
    </row>
    <row r="1727" spans="1:7" ht="15" x14ac:dyDescent="0.25">
      <c r="A1727" s="60" t="s">
        <v>5086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5087</v>
      </c>
      <c r="C1731" s="32"/>
      <c r="E1731" s="32"/>
      <c r="F1731" s="32"/>
    </row>
    <row r="1732" spans="1:7" ht="15" x14ac:dyDescent="0.25">
      <c r="A1732" s="60" t="s">
        <v>5088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5089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5090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5091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7" t="s">
        <v>5438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5092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5093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5094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5095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5096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5097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5098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5099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5100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5101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5102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5103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5104</v>
      </c>
      <c r="C1789" s="32"/>
      <c r="E1789" s="32"/>
      <c r="F1789" s="32"/>
    </row>
    <row r="1790" spans="1:7" ht="15" x14ac:dyDescent="0.25">
      <c r="A1790" s="60" t="s">
        <v>5105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5106</v>
      </c>
      <c r="C1797" s="32"/>
      <c r="E1797" s="32"/>
      <c r="F1797" s="32"/>
    </row>
    <row r="1798" spans="1:7" ht="15" x14ac:dyDescent="0.25">
      <c r="A1798" s="60" t="s">
        <v>5107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5108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5109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5110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5111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5112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5113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5114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5115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5116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5117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5118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5119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5120</v>
      </c>
      <c r="C1854" s="32"/>
      <c r="E1854" s="32"/>
      <c r="F1854" s="32"/>
    </row>
    <row r="1855" spans="1:7" ht="15" x14ac:dyDescent="0.25">
      <c r="A1855" s="60" t="s">
        <v>5121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5122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5123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5124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5125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5126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5127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5128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5129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5130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5131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5132</v>
      </c>
      <c r="C1892" s="32"/>
      <c r="E1892" s="32"/>
      <c r="F1892" s="32"/>
    </row>
    <row r="1893" spans="1:7" x14ac:dyDescent="0.2">
      <c r="A1893" s="36" t="s">
        <v>5432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5133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5134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5135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5136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5137</v>
      </c>
      <c r="C1917" s="32"/>
      <c r="E1917" s="32"/>
      <c r="F1917" s="32"/>
    </row>
    <row r="1918" spans="1:7" ht="15" x14ac:dyDescent="0.25">
      <c r="A1918" s="60" t="s">
        <v>5138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5139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5140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5141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5142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5143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5144</v>
      </c>
      <c r="C1940" s="32"/>
      <c r="E1940" s="32"/>
      <c r="F1940" s="32"/>
    </row>
    <row r="1941" spans="1:7" ht="15" x14ac:dyDescent="0.25">
      <c r="A1941" s="60" t="s">
        <v>5145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5146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5147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5148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5149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5150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5151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5152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5153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5154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5155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5156</v>
      </c>
      <c r="C1992" s="32"/>
      <c r="E1992" s="32"/>
      <c r="F1992" s="32"/>
    </row>
    <row r="1993" spans="1:7" x14ac:dyDescent="0.2">
      <c r="A1993" s="36" t="s">
        <v>5423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5157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5158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5159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5160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5161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5162</v>
      </c>
      <c r="C2011" s="32"/>
      <c r="E2011" s="32"/>
      <c r="F2011" s="32"/>
    </row>
    <row r="2012" spans="1:7" ht="15" x14ac:dyDescent="0.25">
      <c r="A2012" s="60" t="s">
        <v>5163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5164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5165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5166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5167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5168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5169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5170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5171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5172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5173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5174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5175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5176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5177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5178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5179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5180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5181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5182</v>
      </c>
      <c r="E2090" s="32"/>
      <c r="F2090" s="32"/>
    </row>
    <row r="2091" spans="1:7" ht="15" x14ac:dyDescent="0.25">
      <c r="A2091" s="60" t="s">
        <v>5183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5184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4" t="s">
        <v>5434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5185</v>
      </c>
      <c r="C2101" s="32"/>
      <c r="E2101" s="32"/>
      <c r="F2101" s="32"/>
    </row>
    <row r="2102" spans="1:7" ht="15" x14ac:dyDescent="0.25">
      <c r="A2102" s="60" t="s">
        <v>5186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5187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5188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5189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5190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5191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5192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5193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5194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5195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5196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5197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5198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5199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5200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5201</v>
      </c>
      <c r="C2208" s="32"/>
      <c r="D2208" s="32"/>
      <c r="E2208" s="32"/>
      <c r="F2208" s="32"/>
    </row>
    <row r="2209" spans="1:7" ht="15" x14ac:dyDescent="0.25">
      <c r="A2209" s="60" t="s">
        <v>5202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5203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5204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5205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5206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5207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5208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5209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5210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5211</v>
      </c>
      <c r="C2282" s="32"/>
      <c r="E2282" s="32"/>
      <c r="F2282" s="32"/>
    </row>
    <row r="2283" spans="1:7" ht="15" x14ac:dyDescent="0.25">
      <c r="A2283" s="60" t="s">
        <v>5212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5213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5214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5215</v>
      </c>
      <c r="C2301" s="32"/>
      <c r="E2301" s="32"/>
      <c r="F2301" s="32"/>
    </row>
    <row r="2302" spans="1:7" ht="15" x14ac:dyDescent="0.25">
      <c r="A2302" s="60" t="s">
        <v>5216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5217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5218</v>
      </c>
      <c r="C2309" s="32"/>
      <c r="E2309" s="32"/>
      <c r="F2309" s="32"/>
    </row>
    <row r="2310" spans="1:7" ht="15" x14ac:dyDescent="0.25">
      <c r="A2310" s="60" t="s">
        <v>5219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5220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5221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5222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5223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5224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5225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5226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5227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5228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5229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9" t="s">
        <v>5439</v>
      </c>
      <c r="C2392" s="39">
        <v>3</v>
      </c>
      <c r="D2392" s="120" t="s">
        <v>157</v>
      </c>
      <c r="E2392" s="121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5230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5231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5232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5233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5430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5234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5235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5236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5237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5238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5239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5240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5241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5242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5243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5244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4" t="s">
        <v>5433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5245</v>
      </c>
    </row>
    <row r="2524" spans="1:6" s="111" customFormat="1" ht="15" x14ac:dyDescent="0.25">
      <c r="A2524" s="112" t="s">
        <v>5429</v>
      </c>
      <c r="C2524" s="111">
        <v>3</v>
      </c>
      <c r="D2524" s="111" t="s">
        <v>149</v>
      </c>
      <c r="E2524" s="111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5246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5247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5248</v>
      </c>
    </row>
    <row r="2535" spans="1:7" ht="15" x14ac:dyDescent="0.25">
      <c r="A2535" s="60" t="s">
        <v>5249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5250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5251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5252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5253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5254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5255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5256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5257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5258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5259</v>
      </c>
    </row>
    <row r="2582" spans="1:7" ht="15" x14ac:dyDescent="0.25">
      <c r="A2582" s="60" t="s">
        <v>5260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5261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5262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5263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5264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5265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5266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5267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5268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5269</v>
      </c>
    </row>
    <row r="2621" spans="1:7" ht="15" x14ac:dyDescent="0.25">
      <c r="A2621" s="60" t="s">
        <v>5270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5271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5272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5273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5274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5275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5276</v>
      </c>
    </row>
    <row r="2658" spans="1:6" ht="15" x14ac:dyDescent="0.25">
      <c r="A2658" s="60" t="s">
        <v>5277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5278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5" customFormat="1" x14ac:dyDescent="0.2">
      <c r="A2670" s="36" t="s">
        <v>5437</v>
      </c>
      <c r="C2670" s="115">
        <v>1</v>
      </c>
      <c r="D2670" s="115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5279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5426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5280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5281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5282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5283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5284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5285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5286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5287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5288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5289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5290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5291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5292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5293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5294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5295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5296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5297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5298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5299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5300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5301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5302</v>
      </c>
    </row>
    <row r="2798" spans="1:7" ht="15" x14ac:dyDescent="0.25">
      <c r="A2798" s="60" t="s">
        <v>5303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5304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5305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5306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5307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5308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5309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5310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5311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5312</v>
      </c>
    </row>
    <row r="2858" spans="1:7" ht="15" x14ac:dyDescent="0.25">
      <c r="A2858" s="60" t="s">
        <v>5313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5314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5315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5316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5317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5318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5319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5320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5321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5322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5323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5324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5325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5326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5327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5328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5329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5330</v>
      </c>
    </row>
    <row r="2912" spans="1:6" ht="15" x14ac:dyDescent="0.25">
      <c r="A2912" s="60" t="s">
        <v>5331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5332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5333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5334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5335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5336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5337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5338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5339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5340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5341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5342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5343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5344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5345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5346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5347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5348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5349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5350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5351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5352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5353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5354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5355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5356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5357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8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5358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5359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5360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5361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5362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5363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5364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5365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5366</v>
      </c>
    </row>
    <row r="3097" spans="1:7" ht="15" x14ac:dyDescent="0.25">
      <c r="A3097" s="60" t="s">
        <v>5367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5368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5369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5370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5371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5372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5373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D4" sqref="D4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5" t="s">
        <v>127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">
      <c r="A2" s="86" t="s">
        <v>138</v>
      </c>
      <c r="B2" s="46" t="s">
        <v>5448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6"/>
      <c r="C7" s="156"/>
      <c r="D7" s="156"/>
      <c r="E7" s="15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 t="s">
        <v>5443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5424</v>
      </c>
      <c r="D9" s="49" t="s">
        <v>5415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ht="13.5" thickTop="1" x14ac:dyDescent="0.2">
      <c r="A10" s="122" t="s">
        <v>5439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3</v>
      </c>
      <c r="D10" s="99">
        <f t="shared" ref="D10:D11" si="0">VALUE(C10)</f>
        <v>3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07" t="s">
        <v>5410</v>
      </c>
      <c r="K10" s="47" t="str">
        <f>VLOOKUP(J10,'Species List'!$H$1:$J$9,2,FALSE)</f>
        <v>&gt;0-1%</v>
      </c>
      <c r="L10" s="47">
        <f>VLOOKUP(K10,'Species List'!$I$1:$N$8,2,FALSE)</f>
        <v>0.5</v>
      </c>
      <c r="M10" s="100">
        <f t="shared" ref="M10:M11" si="1">VALUE(L10)</f>
        <v>0.5</v>
      </c>
      <c r="N10" s="110">
        <f t="shared" ref="N10:N75" si="2">L10/$L$151</f>
        <v>1.2345679012345678E-2</v>
      </c>
      <c r="O10" s="110">
        <f t="shared" ref="O10:O11" si="3">D10*N10</f>
        <v>3.7037037037037035E-2</v>
      </c>
    </row>
    <row r="11" spans="1:15" x14ac:dyDescent="0.2">
      <c r="A11" s="122" t="s">
        <v>4814</v>
      </c>
      <c r="B11" s="44" t="str">
        <f>IF(LEN(VLOOKUP(A11,'Species List'!$A:$G,2,FALSE))=0,"",VLOOKUP(A11,'Species List'!$A:$G,2,FALSE))</f>
        <v>prickly ash</v>
      </c>
      <c r="C11" s="44">
        <f>IF(LEN(VLOOKUP(A11,'Species List'!$A:$G,3,FALSE))=0,"",VLOOKUP(A11,'Species List'!$A:$G,3,FALSE))</f>
        <v>3</v>
      </c>
      <c r="D11" s="99">
        <f t="shared" si="0"/>
        <v>3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07" t="s">
        <v>5408</v>
      </c>
      <c r="K11" s="47" t="str">
        <f>VLOOKUP(J11,'Species List'!$H$1:$J$9,2,FALSE)</f>
        <v>&gt;1-5%</v>
      </c>
      <c r="L11" s="47">
        <f>VLOOKUP(K11,'Species List'!$I$1:$N$8,2,FALSE)</f>
        <v>3</v>
      </c>
      <c r="M11" s="100">
        <f t="shared" si="1"/>
        <v>3</v>
      </c>
      <c r="N11" s="110">
        <f t="shared" si="2"/>
        <v>7.407407407407407E-2</v>
      </c>
      <c r="O11" s="110">
        <f t="shared" si="3"/>
        <v>0.22222222222222221</v>
      </c>
    </row>
    <row r="12" spans="1:15" x14ac:dyDescent="0.2">
      <c r="A12" s="123" t="s">
        <v>2501</v>
      </c>
      <c r="B12" s="44" t="str">
        <f>IF(LEN(VLOOKUP(A12,'Species List'!$A:$G,2,FALSE))=0,"",VLOOKUP(A12,'Species List'!$A:$G,2,FALSE))</f>
        <v>black walnut</v>
      </c>
      <c r="C12" s="44">
        <f>IF(LEN(VLOOKUP(A12,'Species List'!$A:$G,3,FALSE))=0,"",VLOOKUP(A12,'Species List'!$A:$G,3,FALSE))</f>
        <v>4</v>
      </c>
      <c r="D12" s="99">
        <f>VALUE(C12)</f>
        <v>4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07" t="s">
        <v>5408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>VALUE(L12)</f>
        <v>3</v>
      </c>
      <c r="N12" s="85">
        <f t="shared" si="2"/>
        <v>7.407407407407407E-2</v>
      </c>
      <c r="O12" s="85">
        <f>D12*N12</f>
        <v>0.29629629629629628</v>
      </c>
    </row>
    <row r="13" spans="1:15" x14ac:dyDescent="0.2">
      <c r="A13" s="122" t="s">
        <v>3755</v>
      </c>
      <c r="B13" s="44" t="str">
        <f>IF(LEN(VLOOKUP(A13,'Species List'!$A:$G,2,FALSE))=0,"",VLOOKUP(A13,'Species List'!$A:$G,2,FALSE))</f>
        <v>common buckthorn</v>
      </c>
      <c r="C13" s="44">
        <f>IF(LEN(VLOOKUP(A13,'Species List'!$A:$G,3,FALSE))=0,"",VLOOKUP(A13,'Species List'!$A:$G,3,FALSE))</f>
        <v>0</v>
      </c>
      <c r="D13" s="99">
        <f t="shared" ref="D13:D76" si="4">VALUE(C13)</f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07" t="s">
        <v>5408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ref="M13:M76" si="5">VALUE(L13)</f>
        <v>3</v>
      </c>
      <c r="N13" s="85">
        <f t="shared" si="2"/>
        <v>7.407407407407407E-2</v>
      </c>
      <c r="O13" s="98">
        <f t="shared" ref="O13:O76" si="6">D13*N13</f>
        <v>0</v>
      </c>
    </row>
    <row r="14" spans="1:15" x14ac:dyDescent="0.2">
      <c r="A14" s="122" t="s">
        <v>5442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0</v>
      </c>
      <c r="D14" s="99">
        <f t="shared" si="4"/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08" t="s">
        <v>5410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100">
        <f t="shared" si="5"/>
        <v>0.5</v>
      </c>
      <c r="N14" s="85">
        <f t="shared" si="2"/>
        <v>1.2345679012345678E-2</v>
      </c>
      <c r="O14" s="98">
        <f t="shared" si="6"/>
        <v>0</v>
      </c>
    </row>
    <row r="15" spans="1:15" x14ac:dyDescent="0.2">
      <c r="A15" s="122" t="s">
        <v>3762</v>
      </c>
      <c r="B15" s="44" t="str">
        <f>IF(LEN(VLOOKUP(A15,'Species List'!$A:$G,2,FALSE))=0,"",VLOOKUP(A15,'Species List'!$A:$G,2,FALSE))</f>
        <v>smooth sumac</v>
      </c>
      <c r="C15" s="44">
        <f>IF(LEN(VLOOKUP(A15,'Species List'!$A:$G,3,FALSE))=0,"",VLOOKUP(A15,'Species List'!$A:$G,3,FALSE))</f>
        <v>2</v>
      </c>
      <c r="D15" s="99">
        <f t="shared" si="4"/>
        <v>2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07" t="s">
        <v>5408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5"/>
        <v>3</v>
      </c>
      <c r="N15" s="85">
        <f t="shared" si="2"/>
        <v>7.407407407407407E-2</v>
      </c>
      <c r="O15" s="98">
        <f t="shared" si="6"/>
        <v>0.14814814814814814</v>
      </c>
    </row>
    <row r="16" spans="1:15" x14ac:dyDescent="0.2">
      <c r="A16" s="122" t="s">
        <v>3855</v>
      </c>
      <c r="B16" s="44" t="str">
        <f>IF(LEN(VLOOKUP(A16,'Species List'!$A:$G,2,FALSE))=0,"",VLOOKUP(A16,'Species List'!$A:$G,2,FALSE))</f>
        <v>black raspberry</v>
      </c>
      <c r="C16" s="44">
        <f>IF(LEN(VLOOKUP(A16,'Species List'!$A:$G,3,FALSE))=0,"",VLOOKUP(A16,'Species List'!$A:$G,3,FALSE))</f>
        <v>2</v>
      </c>
      <c r="D16" s="99">
        <f t="shared" si="4"/>
        <v>2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07" t="s">
        <v>5408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7.407407407407407E-2</v>
      </c>
      <c r="O16" s="98">
        <f t="shared" si="6"/>
        <v>0.14814814814814814</v>
      </c>
    </row>
    <row r="17" spans="1:15" x14ac:dyDescent="0.2">
      <c r="A17" s="124" t="s">
        <v>4515</v>
      </c>
      <c r="B17" s="44" t="str">
        <f>IF(LEN(VLOOKUP(A17,'Species List'!$A:$G,2,FALSE))=0,"",VLOOKUP(A17,'Species List'!$A:$G,2,FALSE))</f>
        <v>western poison ivy</v>
      </c>
      <c r="C17" s="44">
        <f>IF(LEN(VLOOKUP(A17,'Species List'!$A:$G,3,FALSE))=0,"",VLOOKUP(A17,'Species List'!$A:$G,3,FALSE))</f>
        <v>1</v>
      </c>
      <c r="D17" s="99">
        <f t="shared" si="4"/>
        <v>1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07">
        <v>2</v>
      </c>
      <c r="K17" s="47" t="str">
        <f>VLOOKUP(J17,'Species List'!$H$1:$J$9,2,FALSE)</f>
        <v>&gt;5-25%</v>
      </c>
      <c r="L17" s="47">
        <f>VLOOKUP(K17,'Species List'!$I$1:$N$8,2,FALSE)</f>
        <v>15</v>
      </c>
      <c r="M17" s="100">
        <f t="shared" si="5"/>
        <v>15</v>
      </c>
      <c r="N17" s="85">
        <f t="shared" si="2"/>
        <v>0.37037037037037035</v>
      </c>
      <c r="O17" s="98">
        <f t="shared" si="6"/>
        <v>0.37037037037037035</v>
      </c>
    </row>
    <row r="18" spans="1:15" x14ac:dyDescent="0.2">
      <c r="A18" s="124" t="s">
        <v>4597</v>
      </c>
      <c r="B18" s="44" t="str">
        <f>IF(LEN(VLOOKUP(A18,'Species List'!$A:$G,2,FALSE))=0,"",VLOOKUP(A18,'Species List'!$A:$G,2,FALSE))</f>
        <v>Siberian elm</v>
      </c>
      <c r="C18" s="44">
        <f>IF(LEN(VLOOKUP(A18,'Species List'!$A:$G,3,FALSE))=0,"",VLOOKUP(A18,'Species List'!$A:$G,3,FALSE))</f>
        <v>0</v>
      </c>
      <c r="D18" s="99">
        <f t="shared" si="4"/>
        <v>0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UPL</v>
      </c>
      <c r="H18" s="44">
        <f>VLOOKUP(A18,'Species List'!$A:$G,7,FALSE)</f>
        <v>0</v>
      </c>
      <c r="J18" s="107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7.407407407407407E-2</v>
      </c>
      <c r="O18" s="98">
        <f t="shared" si="6"/>
        <v>0</v>
      </c>
    </row>
    <row r="19" spans="1:15" x14ac:dyDescent="0.2">
      <c r="A19" s="122" t="s">
        <v>1395</v>
      </c>
      <c r="B19" s="44" t="str">
        <f>IF(LEN(VLOOKUP(A19,'Species List'!$A:$G,2,FALSE))=0,"",VLOOKUP(A19,'Species List'!$A:$G,2,FALSE))</f>
        <v>virgin's bower</v>
      </c>
      <c r="C19" s="44">
        <f>IF(LEN(VLOOKUP(A19,'Species List'!$A:$G,3,FALSE))=0,"",VLOOKUP(A19,'Species List'!$A:$G,3,FALSE))</f>
        <v>4</v>
      </c>
      <c r="D19" s="99">
        <f t="shared" si="4"/>
        <v>4</v>
      </c>
      <c r="E19" s="44" t="str">
        <f>IF(LEN(VLOOKUP(A19,'Species List'!$A:$G,4,FALSE))=0,"",VLOOKUP(A19,'Species List'!$A:$G,4,FALSE))</f>
        <v>C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107" t="s">
        <v>5410</v>
      </c>
      <c r="K19" s="47" t="str">
        <f>VLOOKUP(J19,'Species List'!$H$1:$J$9,2,FALSE)</f>
        <v>&gt;0-1%</v>
      </c>
      <c r="L19" s="47">
        <f>VLOOKUP(K19,'Species List'!$I$1:$N$8,2,FALSE)</f>
        <v>0.5</v>
      </c>
      <c r="M19" s="100">
        <f t="shared" si="5"/>
        <v>0.5</v>
      </c>
      <c r="N19" s="85">
        <f t="shared" si="2"/>
        <v>1.2345679012345678E-2</v>
      </c>
      <c r="O19" s="98">
        <f t="shared" si="6"/>
        <v>4.9382716049382713E-2</v>
      </c>
    </row>
    <row r="20" spans="1:15" x14ac:dyDescent="0.2">
      <c r="A20" s="122" t="s">
        <v>2144</v>
      </c>
      <c r="B20" s="44" t="str">
        <f>IF(LEN(VLOOKUP(A20,'Species List'!$A:$G,2,FALSE))=0,"",VLOOKUP(A20,'Species List'!$A:$G,2,FALSE))</f>
        <v>green ash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</v>
      </c>
      <c r="H20" s="44">
        <f>VLOOKUP(A20,'Species List'!$A:$G,7,FALSE)</f>
        <v>0</v>
      </c>
      <c r="J20" s="107" t="s">
        <v>5408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7.407407407407407E-2</v>
      </c>
      <c r="O20" s="98">
        <f t="shared" si="6"/>
        <v>0.14814814814814814</v>
      </c>
    </row>
    <row r="21" spans="1:15" x14ac:dyDescent="0.2">
      <c r="A21" s="125" t="s">
        <v>3211</v>
      </c>
      <c r="B21" s="44" t="str">
        <f>IF(LEN(VLOOKUP(A21,'Species List'!$A:$G,2,FALSE))=0,"",VLOOKUP(A21,'Species List'!$A:$G,2,FALSE))</f>
        <v>Virginia creeper</v>
      </c>
      <c r="C21" s="44">
        <f>IF(LEN(VLOOKUP(A21,'Species List'!$A:$G,3,FALSE))=0,"",VLOOKUP(A21,'Species List'!$A:$G,3,FALSE))</f>
        <v>3</v>
      </c>
      <c r="D21" s="99">
        <f t="shared" si="4"/>
        <v>3</v>
      </c>
      <c r="E21" s="44" t="str">
        <f>IF(LEN(VLOOKUP(A21,'Species List'!$A:$G,4,FALSE))=0,"",VLOOKUP(A21,'Species List'!$A:$G,4,FALSE))</f>
        <v>C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FAC-</v>
      </c>
      <c r="H21" s="44">
        <f>VLOOKUP(A21,'Species List'!$A:$G,7,FALSE)</f>
        <v>0</v>
      </c>
      <c r="J21" s="107" t="s">
        <v>5408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85">
        <f t="shared" si="2"/>
        <v>7.407407407407407E-2</v>
      </c>
      <c r="O21" s="98">
        <f t="shared" si="6"/>
        <v>0.22222222222222221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ref="N76:N139" si="7">L76/$L$151</f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ref="M77:M140" si="9">VALUE(L77)</f>
        <v>#N/A</v>
      </c>
      <c r="N77" s="85" t="e">
        <f t="shared" si="7"/>
        <v>#N/A</v>
      </c>
      <c r="O77" s="98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9"/>
        <v>#N/A</v>
      </c>
      <c r="N78" s="85" t="e">
        <f t="shared" si="7"/>
        <v>#N/A</v>
      </c>
      <c r="O78" s="98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si="9"/>
        <v>#N/A</v>
      </c>
      <c r="N79" s="85" t="e">
        <f t="shared" si="7"/>
        <v>#N/A</v>
      </c>
      <c r="O79" s="98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ref="N140:N150" si="11">L140/$L$151</f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ref="M141:M150" si="13">VALUE(L141)</f>
        <v>#N/A</v>
      </c>
      <c r="N141" s="85" t="e">
        <f t="shared" si="11"/>
        <v>#N/A</v>
      </c>
      <c r="O141" s="98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13"/>
        <v>#N/A</v>
      </c>
      <c r="N142" s="85" t="e">
        <f t="shared" si="11"/>
        <v>#N/A</v>
      </c>
      <c r="O142" s="98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si="13"/>
        <v>#N/A</v>
      </c>
      <c r="N143" s="85" t="e">
        <f t="shared" si="11"/>
        <v>#N/A</v>
      </c>
      <c r="O143" s="98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9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100" t="e">
        <f t="shared" si="13"/>
        <v>#N/A</v>
      </c>
      <c r="N150" s="45" t="e">
        <f t="shared" si="11"/>
        <v>#N/A</v>
      </c>
      <c r="O150" s="98" t="e">
        <f t="shared" si="14"/>
        <v>#N/A</v>
      </c>
    </row>
    <row r="151" spans="1:15" ht="14.25" thickTop="1" thickBot="1" x14ac:dyDescent="0.25">
      <c r="I151" s="157" t="s">
        <v>5377</v>
      </c>
      <c r="J151" s="158"/>
      <c r="K151" s="159"/>
      <c r="L151" s="63">
        <f>SUMIF(L10:L150,"&gt;=0")</f>
        <v>40.5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1"/>
  <sheetViews>
    <sheetView topLeftCell="A13" workbookViewId="0">
      <selection activeCell="A32" sqref="A32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5" t="s">
        <v>127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5422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6"/>
      <c r="C7" s="156"/>
      <c r="D7" s="156"/>
      <c r="E7" s="15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 t="s">
        <v>5444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5424</v>
      </c>
      <c r="D9" s="49" t="s">
        <v>5415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5425</v>
      </c>
      <c r="M9" s="49" t="s">
        <v>133</v>
      </c>
      <c r="N9" s="43" t="s">
        <v>4833</v>
      </c>
      <c r="O9" s="43" t="s">
        <v>4834</v>
      </c>
    </row>
    <row r="10" spans="1:15" ht="13.5" thickTop="1" x14ac:dyDescent="0.2">
      <c r="A10" s="126" t="s">
        <v>320</v>
      </c>
      <c r="B10" s="44" t="str">
        <f>IF(LEN(VLOOKUP(A10,'Species List'!$A:$G,2,FALSE))=0,"",VLOOKUP(A10,'Species List'!$A:$G,2,FALSE))</f>
        <v>common ragweed</v>
      </c>
      <c r="C10" s="44">
        <f>IF(LEN(VLOOKUP(A10,'Species List'!$A:$G,3,FALSE))=0,"",VLOOKUP(A10,'Species List'!$A:$G,3,FALSE))</f>
        <v>0</v>
      </c>
      <c r="D10" s="99">
        <f t="shared" ref="D10:D11" si="0">VALUE(C10)</f>
        <v>0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31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100">
        <f t="shared" ref="M10:M12" si="1">VALUE(L10)</f>
        <v>15</v>
      </c>
      <c r="N10" s="110">
        <f t="shared" ref="N10:N11" si="2">L10/$L$151</f>
        <v>0.16759776536312848</v>
      </c>
      <c r="O10" s="110">
        <f t="shared" ref="O10:O11" si="3">D10*N10</f>
        <v>0</v>
      </c>
    </row>
    <row r="11" spans="1:15" x14ac:dyDescent="0.2">
      <c r="A11" s="125" t="s">
        <v>3327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3</v>
      </c>
      <c r="D11" s="99">
        <f t="shared" si="0"/>
        <v>3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1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100">
        <f t="shared" si="1"/>
        <v>15</v>
      </c>
      <c r="N11" s="110">
        <f t="shared" si="2"/>
        <v>0.16759776536312848</v>
      </c>
      <c r="O11" s="110">
        <f t="shared" si="3"/>
        <v>0.5027932960893855</v>
      </c>
    </row>
    <row r="12" spans="1:15" x14ac:dyDescent="0.2">
      <c r="A12" s="125" t="s">
        <v>2946</v>
      </c>
      <c r="B12" s="44" t="str">
        <f>IF(LEN(VLOOKUP(A12,'Species List'!$A:$G,2,FALSE))=0,"",VLOOKUP(A12,'Species List'!$A:$G,2,FALSE))</f>
        <v>wild bergamot</v>
      </c>
      <c r="C12" s="44">
        <f>IF(LEN(VLOOKUP(A12,'Species List'!$A:$G,3,FALSE))=0,"",VLOOKUP(A12,'Species List'!$A:$G,3,FALSE))</f>
        <v>3</v>
      </c>
      <c r="D12" s="99">
        <f>VALUE(C12)</f>
        <v>3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31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si="1"/>
        <v>15</v>
      </c>
      <c r="N12" s="85">
        <f>L12/$L$151</f>
        <v>0.16759776536312848</v>
      </c>
      <c r="O12" s="85">
        <f>D12*N12</f>
        <v>0.5027932960893855</v>
      </c>
    </row>
    <row r="13" spans="1:15" x14ac:dyDescent="0.2">
      <c r="A13" s="125" t="s">
        <v>4658</v>
      </c>
      <c r="B13" s="44" t="str">
        <f>IF(LEN(VLOOKUP(A13,'Species List'!$A:$G,2,FALSE))=0,"",VLOOKUP(A13,'Species List'!$A:$G,2,FALSE))</f>
        <v>hoary vervain</v>
      </c>
      <c r="C13" s="44">
        <f>IF(LEN(VLOOKUP(A13,'Species List'!$A:$G,3,FALSE))=0,"",VLOOKUP(A13,'Species List'!$A:$G,3,FALSE))</f>
        <v>3</v>
      </c>
      <c r="D13" s="99">
        <f t="shared" ref="D13:D76" si="4">VALUE(C13)</f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1" t="s">
        <v>5408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ref="M13:M76" si="5">VALUE(L13)</f>
        <v>3</v>
      </c>
      <c r="N13" s="98">
        <f t="shared" ref="N13:N76" si="6">L13/$L$151</f>
        <v>3.3519553072625698E-2</v>
      </c>
      <c r="O13" s="98">
        <f t="shared" ref="O13:O76" si="7">D13*N13</f>
        <v>0.1005586592178771</v>
      </c>
    </row>
    <row r="14" spans="1:15" x14ac:dyDescent="0.2">
      <c r="A14" s="125" t="s">
        <v>3220</v>
      </c>
      <c r="B14" s="44" t="str">
        <f>IF(LEN(VLOOKUP(A14,'Species List'!$A:$G,2,FALSE))=0,"",VLOOKUP(A14,'Species List'!$A:$G,2,FALSE))</f>
        <v>wild parsnip</v>
      </c>
      <c r="C14" s="44">
        <f>IF(LEN(VLOOKUP(A14,'Species List'!$A:$G,3,FALSE))=0,"",VLOOKUP(A14,'Species List'!$A:$G,3,FALSE))</f>
        <v>0</v>
      </c>
      <c r="D14" s="99">
        <f t="shared" si="4"/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31" t="s">
        <v>5410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100">
        <f t="shared" si="5"/>
        <v>0.5</v>
      </c>
      <c r="N14" s="98">
        <f t="shared" si="6"/>
        <v>5.5865921787709499E-3</v>
      </c>
      <c r="O14" s="98">
        <f t="shared" si="7"/>
        <v>0</v>
      </c>
    </row>
    <row r="15" spans="1:15" x14ac:dyDescent="0.2">
      <c r="A15" s="125" t="s">
        <v>2889</v>
      </c>
      <c r="B15" s="44" t="str">
        <f>IF(LEN(VLOOKUP(A15,'Species List'!$A:$G,2,FALSE))=0,"",VLOOKUP(A15,'Species List'!$A:$G,2,FALSE))</f>
        <v>white sweet clover</v>
      </c>
      <c r="C15" s="44">
        <f>IF(LEN(VLOOKUP(A15,'Species List'!$A:$G,3,FALSE))=0,"",VLOOKUP(A15,'Species List'!$A:$G,3,FALSE))</f>
        <v>0</v>
      </c>
      <c r="D15" s="99">
        <f t="shared" si="4"/>
        <v>0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31" t="s">
        <v>5408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5"/>
        <v>3</v>
      </c>
      <c r="N15" s="98">
        <f t="shared" si="6"/>
        <v>3.3519553072625698E-2</v>
      </c>
      <c r="O15" s="98">
        <f t="shared" si="7"/>
        <v>0</v>
      </c>
    </row>
    <row r="16" spans="1:15" x14ac:dyDescent="0.2">
      <c r="A16" s="125" t="s">
        <v>4526</v>
      </c>
      <c r="B16" s="44" t="str">
        <f>IF(LEN(VLOOKUP(A16,'Species List'!$A:$G,2,FALSE))=0,"",VLOOKUP(A16,'Species List'!$A:$G,2,FALSE))</f>
        <v>yellow goat's beard</v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31" t="s">
        <v>5410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100">
        <f t="shared" si="5"/>
        <v>0.5</v>
      </c>
      <c r="N16" s="98">
        <f t="shared" si="6"/>
        <v>5.5865921787709499E-3</v>
      </c>
      <c r="O16" s="98">
        <f t="shared" si="7"/>
        <v>0</v>
      </c>
    </row>
    <row r="17" spans="1:15" x14ac:dyDescent="0.2">
      <c r="A17" s="125" t="s">
        <v>2576</v>
      </c>
      <c r="B17" s="44" t="str">
        <f>IF(LEN(VLOOKUP(A17,'Species List'!$A:$G,2,FALSE))=0,"",VLOOKUP(A17,'Species List'!$A:$G,2,FALSE))</f>
        <v>Canada wild lettuce</v>
      </c>
      <c r="C17" s="44">
        <f>IF(LEN(VLOOKUP(A17,'Species List'!$A:$G,3,FALSE))=0,"",VLOOKUP(A17,'Species List'!$A:$G,3,FALSE))</f>
        <v>2</v>
      </c>
      <c r="D17" s="99">
        <f t="shared" si="4"/>
        <v>2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FACU+</v>
      </c>
      <c r="H17" s="44">
        <f>VLOOKUP(A17,'Species List'!$A:$G,7,FALSE)</f>
        <v>0</v>
      </c>
      <c r="J17" s="131" t="s">
        <v>5410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5"/>
        <v>0.5</v>
      </c>
      <c r="N17" s="98">
        <f t="shared" si="6"/>
        <v>5.5865921787709499E-3</v>
      </c>
      <c r="O17" s="98">
        <f t="shared" si="7"/>
        <v>1.11731843575419E-2</v>
      </c>
    </row>
    <row r="18" spans="1:15" x14ac:dyDescent="0.2">
      <c r="A18" s="125" t="s">
        <v>4650</v>
      </c>
      <c r="B18" s="44" t="str">
        <f>IF(LEN(VLOOKUP(A18,'Species List'!$A:$G,2,FALSE))=0,"",VLOOKUP(A18,'Species List'!$A:$G,2,FALSE))</f>
        <v>common mullein</v>
      </c>
      <c r="C18" s="44">
        <f>IF(LEN(VLOOKUP(A18,'Species List'!$A:$G,3,FALSE))=0,"",VLOOKUP(A18,'Species List'!$A:$G,3,FALSE))</f>
        <v>0</v>
      </c>
      <c r="D18" s="99">
        <f t="shared" si="4"/>
        <v>0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UPL</v>
      </c>
      <c r="H18" s="44">
        <f>VLOOKUP(A18,'Species List'!$A:$G,7,FALSE)</f>
        <v>0</v>
      </c>
      <c r="J18" s="132" t="s">
        <v>5408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3.3519553072625698E-2</v>
      </c>
      <c r="O18" s="98">
        <f t="shared" si="7"/>
        <v>0</v>
      </c>
    </row>
    <row r="19" spans="1:15" x14ac:dyDescent="0.2">
      <c r="A19" s="125" t="s">
        <v>186</v>
      </c>
      <c r="B19" s="44" t="str">
        <f>IF(LEN(VLOOKUP(A19,'Species List'!$A:$G,2,FALSE))=0,"",VLOOKUP(A19,'Species List'!$A:$G,2,FALSE))</f>
        <v>common yarrow</v>
      </c>
      <c r="C19" s="44">
        <f>IF(LEN(VLOOKUP(A19,'Species List'!$A:$G,3,FALSE))=0,"",VLOOKUP(A19,'Species List'!$A:$G,3,FALSE))</f>
        <v>1</v>
      </c>
      <c r="D19" s="99">
        <f t="shared" si="4"/>
        <v>1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31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3.3519553072625698E-2</v>
      </c>
      <c r="O19" s="98">
        <f t="shared" si="7"/>
        <v>3.3519553072625698E-2</v>
      </c>
    </row>
    <row r="20" spans="1:15" x14ac:dyDescent="0.2">
      <c r="A20" s="125" t="s">
        <v>2135</v>
      </c>
      <c r="B20" s="44" t="str">
        <f>IF(LEN(VLOOKUP(A20,'Species List'!$A:$G,2,FALSE))=0,"",VLOOKUP(A20,'Species List'!$A:$G,2,FALSE))</f>
        <v>common strawberry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FAC-</v>
      </c>
      <c r="H20" s="44">
        <f>VLOOKUP(A20,'Species List'!$A:$G,7,FALSE)</f>
        <v>0</v>
      </c>
      <c r="J20" s="131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3.3519553072625698E-2</v>
      </c>
      <c r="O20" s="98">
        <f t="shared" si="7"/>
        <v>6.7039106145251395E-2</v>
      </c>
    </row>
    <row r="21" spans="1:15" x14ac:dyDescent="0.2">
      <c r="A21" s="125" t="s">
        <v>2056</v>
      </c>
      <c r="B21" s="44" t="str">
        <f>IF(LEN(VLOOKUP(A21,'Species List'!$A:$G,2,FALSE))=0,"",VLOOKUP(A21,'Species List'!$A:$G,2,FALSE))</f>
        <v>toothed spurge</v>
      </c>
      <c r="C21" s="44">
        <f>IF(LEN(VLOOKUP(A21,'Species List'!$A:$G,3,FALSE))=0,"",VLOOKUP(A21,'Species List'!$A:$G,3,FALSE))</f>
        <v>1</v>
      </c>
      <c r="D21" s="99">
        <f t="shared" si="4"/>
        <v>1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1">
        <v>1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3.3519553072625698E-2</v>
      </c>
      <c r="O21" s="98">
        <f t="shared" si="7"/>
        <v>3.3519553072625698E-2</v>
      </c>
    </row>
    <row r="22" spans="1:15" x14ac:dyDescent="0.2">
      <c r="A22" s="127" t="s">
        <v>643</v>
      </c>
      <c r="B22" s="44" t="str">
        <f>IF(LEN(VLOOKUP(A22,'Species List'!$A:$G,2,FALSE))=0,"",VLOOKUP(A22,'Species List'!$A:$G,2,FALSE))</f>
        <v>hoary alyssum</v>
      </c>
      <c r="C22" s="44">
        <f>IF(LEN(VLOOKUP(A22,'Species List'!$A:$G,3,FALSE))=0,"",VLOOKUP(A22,'Species List'!$A:$G,3,FALSE))</f>
        <v>0</v>
      </c>
      <c r="D22" s="99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31" t="s">
        <v>5408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3.3519553072625698E-2</v>
      </c>
      <c r="O22" s="98">
        <f t="shared" si="7"/>
        <v>0</v>
      </c>
    </row>
    <row r="23" spans="1:15" x14ac:dyDescent="0.2">
      <c r="A23" s="128" t="s">
        <v>4219</v>
      </c>
      <c r="B23" s="44" t="str">
        <f>IF(LEN(VLOOKUP(A23,'Species List'!$A:$G,2,FALSE))=0,"",VLOOKUP(A23,'Species List'!$A:$G,2,FALSE))</f>
        <v>giant goldenrod</v>
      </c>
      <c r="C23" s="44">
        <f>IF(LEN(VLOOKUP(A23,'Species List'!$A:$G,3,FALSE))=0,"",VLOOKUP(A23,'Species List'!$A:$G,3,FALSE))</f>
        <v>3</v>
      </c>
      <c r="D23" s="99">
        <f t="shared" si="4"/>
        <v>3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</v>
      </c>
      <c r="H23" s="44">
        <f>VLOOKUP(A23,'Species List'!$A:$G,7,FALSE)</f>
        <v>0</v>
      </c>
      <c r="J23" s="106" t="s">
        <v>5408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3.3519553072625698E-2</v>
      </c>
      <c r="O23" s="98">
        <f t="shared" si="7"/>
        <v>0.1005586592178771</v>
      </c>
    </row>
    <row r="24" spans="1:15" x14ac:dyDescent="0.2">
      <c r="A24" s="125" t="s">
        <v>2101</v>
      </c>
      <c r="B24" s="44" t="str">
        <f>IF(LEN(VLOOKUP(A24,'Species List'!$A:$G,2,FALSE))=0,"",VLOOKUP(A24,'Species List'!$A:$G,2,FALSE))</f>
        <v>black-bindweed</v>
      </c>
      <c r="C24" s="44">
        <f>IF(LEN(VLOOKUP(A24,'Species List'!$A:$G,3,FALSE))=0,"",VLOOKUP(A24,'Species List'!$A:$G,3,FALSE))</f>
        <v>0</v>
      </c>
      <c r="D24" s="99">
        <f t="shared" si="4"/>
        <v>0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>[FAC-]</v>
      </c>
      <c r="H24" s="44">
        <f>VLOOKUP(A24,'Species List'!$A:$G,7,FALSE)</f>
        <v>0</v>
      </c>
      <c r="J24" s="131" t="s">
        <v>5410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100">
        <f t="shared" si="5"/>
        <v>0.5</v>
      </c>
      <c r="N24" s="98">
        <f t="shared" si="6"/>
        <v>5.5865921787709499E-3</v>
      </c>
      <c r="O24" s="98">
        <f t="shared" si="7"/>
        <v>0</v>
      </c>
    </row>
    <row r="25" spans="1:15" x14ac:dyDescent="0.2">
      <c r="A25" s="129" t="s">
        <v>556</v>
      </c>
      <c r="B25" s="44" t="str">
        <f>IF(LEN(VLOOKUP(A25,'Species List'!$A:$G,2,FALSE))=0,"",VLOOKUP(A25,'Species List'!$A:$G,2,FALSE))</f>
        <v>whorled milkweed</v>
      </c>
      <c r="C25" s="44">
        <f>IF(LEN(VLOOKUP(A25,'Species List'!$A:$G,3,FALSE))=0,"",VLOOKUP(A25,'Species List'!$A:$G,3,FALSE))</f>
        <v>2</v>
      </c>
      <c r="D25" s="99">
        <f t="shared" si="4"/>
        <v>2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31">
        <v>1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3.3519553072625698E-2</v>
      </c>
      <c r="O25" s="98">
        <f t="shared" si="7"/>
        <v>6.7039106145251395E-2</v>
      </c>
    </row>
    <row r="26" spans="1:15" x14ac:dyDescent="0.2">
      <c r="A26" s="125" t="s">
        <v>2072</v>
      </c>
      <c r="B26" s="44" t="str">
        <f>IF(LEN(VLOOKUP(A26,'Species List'!$A:$G,2,FALSE))=0,"",VLOOKUP(A26,'Species List'!$A:$G,2,FALSE))</f>
        <v>nodding spurge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[FACU]</v>
      </c>
      <c r="H26" s="44">
        <f>VLOOKUP(A26,'Species List'!$A:$G,7,FALSE)</f>
        <v>0</v>
      </c>
      <c r="J26" s="131" t="s">
        <v>5408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3.3519553072625698E-2</v>
      </c>
      <c r="O26" s="98">
        <f t="shared" si="7"/>
        <v>0</v>
      </c>
    </row>
    <row r="27" spans="1:15" x14ac:dyDescent="0.2">
      <c r="A27" s="125" t="s">
        <v>3621</v>
      </c>
      <c r="B27" s="44" t="str">
        <f>IF(LEN(VLOOKUP(A27,'Species List'!$A:$G,2,FALSE))=0,"",VLOOKUP(A27,'Species List'!$A:$G,2,FALSE))</f>
        <v>rough-fruited cinquefoil</v>
      </c>
      <c r="C27" s="44">
        <f>IF(LEN(VLOOKUP(A27,'Species List'!$A:$G,3,FALSE))=0,"",VLOOKUP(A27,'Species List'!$A:$G,3,FALSE))</f>
        <v>0</v>
      </c>
      <c r="D27" s="99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/>
      </c>
      <c r="H27" s="44">
        <f>VLOOKUP(A27,'Species List'!$A:$G,7,FALSE)</f>
        <v>0</v>
      </c>
      <c r="J27" s="131" t="s">
        <v>5408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3.3519553072625698E-2</v>
      </c>
      <c r="O27" s="98">
        <f t="shared" si="7"/>
        <v>0</v>
      </c>
    </row>
    <row r="28" spans="1:15" x14ac:dyDescent="0.2">
      <c r="A28" s="125" t="s">
        <v>388</v>
      </c>
      <c r="B28" s="44" t="str">
        <f>IF(LEN(VLOOKUP(A28,'Species List'!$A:$G,2,FALSE))=0,"",VLOOKUP(A28,'Species List'!$A:$G,2,FALSE))</f>
        <v>long-headed thimbleweed</v>
      </c>
      <c r="C28" s="44">
        <f>IF(LEN(VLOOKUP(A28,'Species List'!$A:$G,3,FALSE))=0,"",VLOOKUP(A28,'Species List'!$A:$G,3,FALSE))</f>
        <v>6</v>
      </c>
      <c r="D28" s="99">
        <f t="shared" si="4"/>
        <v>6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05" t="s">
        <v>5408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3.3519553072625698E-2</v>
      </c>
      <c r="O28" s="98">
        <f t="shared" si="7"/>
        <v>0.2011173184357542</v>
      </c>
    </row>
    <row r="29" spans="1:15" x14ac:dyDescent="0.2">
      <c r="A29" s="125" t="s">
        <v>5445</v>
      </c>
      <c r="B29" s="44" t="e">
        <f>IF(LEN(VLOOKUP(A29,'Species List'!$A:$G,2,FALSE))=0,"",VLOOKUP(A29,'Species List'!$A:$G,2,FALSE))</f>
        <v>#N/A</v>
      </c>
      <c r="C29" s="44">
        <v>0</v>
      </c>
      <c r="D29" s="99">
        <f t="shared" si="4"/>
        <v>0</v>
      </c>
      <c r="E29" s="44" t="s">
        <v>149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05" t="s">
        <v>5408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3.3519553072625698E-2</v>
      </c>
      <c r="O29" s="98">
        <f t="shared" si="7"/>
        <v>0</v>
      </c>
    </row>
    <row r="30" spans="1:15" x14ac:dyDescent="0.2">
      <c r="A30" s="125" t="s">
        <v>4210</v>
      </c>
      <c r="B30" s="44" t="str">
        <f>IF(LEN(VLOOKUP(A30,'Species List'!$A:$G,2,FALSE))=0,"",VLOOKUP(A30,'Species List'!$A:$G,2,FALSE))</f>
        <v>late goldenrod</v>
      </c>
      <c r="C30" s="44">
        <f>IF(LEN(VLOOKUP(A30,'Species List'!$A:$G,3,FALSE))=0,"",VLOOKUP(A30,'Species List'!$A:$G,3,FALSE))</f>
        <v>1</v>
      </c>
      <c r="D30" s="99">
        <f t="shared" si="4"/>
        <v>1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05" t="s">
        <v>5408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3.3519553072625698E-2</v>
      </c>
      <c r="O30" s="98">
        <f t="shared" si="7"/>
        <v>3.3519553072625698E-2</v>
      </c>
    </row>
    <row r="31" spans="1:15" x14ac:dyDescent="0.2">
      <c r="A31" s="130" t="s">
        <v>2930</v>
      </c>
      <c r="B31" s="44" t="str">
        <f>IF(LEN(VLOOKUP(A31,'Species List'!$A:$G,2,FALSE))=0,"",VLOOKUP(A31,'Species List'!$A:$G,2,FALSE))</f>
        <v>heart-leaved four o'clock</v>
      </c>
      <c r="C31" s="44">
        <f>IF(LEN(VLOOKUP(A31,'Species List'!$A:$G,3,FALSE))=0,"",VLOOKUP(A31,'Species List'!$A:$G,3,FALSE))</f>
        <v>1</v>
      </c>
      <c r="D31" s="99">
        <f t="shared" si="4"/>
        <v>1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UPL</v>
      </c>
      <c r="H31" s="44">
        <f>VLOOKUP(A31,'Species List'!$A:$G,7,FALSE)</f>
        <v>0</v>
      </c>
      <c r="J31" s="105" t="s">
        <v>5410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100">
        <f t="shared" si="5"/>
        <v>0.5</v>
      </c>
      <c r="N31" s="98">
        <f t="shared" si="6"/>
        <v>5.5865921787709499E-3</v>
      </c>
      <c r="O31" s="98">
        <f t="shared" si="7"/>
        <v>5.5865921787709499E-3</v>
      </c>
    </row>
    <row r="32" spans="1:15" x14ac:dyDescent="0.2">
      <c r="A32" s="105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07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98" t="e">
        <f t="shared" si="6"/>
        <v>#N/A</v>
      </c>
      <c r="O32" s="98" t="e">
        <f t="shared" si="7"/>
        <v>#N/A</v>
      </c>
    </row>
    <row r="33" spans="1:15" x14ac:dyDescent="0.2">
      <c r="A33" s="105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07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98" t="e">
        <f t="shared" si="6"/>
        <v>#N/A</v>
      </c>
      <c r="O33" s="98" t="e">
        <f t="shared" si="7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ref="M77:M140" si="9">VALUE(L77)</f>
        <v>#N/A</v>
      </c>
      <c r="N77" s="98" t="e">
        <f t="shared" ref="N77:N140" si="10">L77/$L$151</f>
        <v>#N/A</v>
      </c>
      <c r="O77" s="98" t="e">
        <f t="shared" ref="O77:O140" si="11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9"/>
        <v>#N/A</v>
      </c>
      <c r="N78" s="98" t="e">
        <f t="shared" si="10"/>
        <v>#N/A</v>
      </c>
      <c r="O78" s="98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si="9"/>
        <v>#N/A</v>
      </c>
      <c r="N79" s="98" t="e">
        <f t="shared" si="10"/>
        <v>#N/A</v>
      </c>
      <c r="O79" s="98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ref="M141:M150" si="13">VALUE(L141)</f>
        <v>#N/A</v>
      </c>
      <c r="N141" s="98" t="e">
        <f t="shared" ref="N141:N149" si="14">L141/$L$151</f>
        <v>#N/A</v>
      </c>
      <c r="O141" s="98" t="e">
        <f t="shared" ref="O141:O150" si="15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13"/>
        <v>#N/A</v>
      </c>
      <c r="N142" s="98" t="e">
        <f t="shared" si="14"/>
        <v>#N/A</v>
      </c>
      <c r="O142" s="98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si="13"/>
        <v>#N/A</v>
      </c>
      <c r="N143" s="98" t="e">
        <f t="shared" si="14"/>
        <v>#N/A</v>
      </c>
      <c r="O143" s="98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s="98" customFormat="1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ht="13.5" thickBot="1" x14ac:dyDescent="0.25">
      <c r="A150" s="92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5"/>
      <c r="J150" s="92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ref="N150" si="16">L150/$L$150</f>
        <v>#N/A</v>
      </c>
      <c r="O150" s="98" t="e">
        <f t="shared" si="15"/>
        <v>#N/A</v>
      </c>
    </row>
    <row r="151" spans="1:15" ht="14.25" thickTop="1" thickBot="1" x14ac:dyDescent="0.25">
      <c r="I151" s="157" t="s">
        <v>5377</v>
      </c>
      <c r="J151" s="158"/>
      <c r="K151" s="159"/>
      <c r="L151" s="63">
        <f>SUMIF(L10:L150,"&gt;=0")</f>
        <v>89.5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0" sqref="J10:J15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5" t="s">
        <v>127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5421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6"/>
      <c r="C7" s="156"/>
      <c r="D7" s="156"/>
      <c r="E7" s="15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 t="s">
        <v>5446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5424</v>
      </c>
      <c r="D9" s="49" t="s">
        <v>5415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ht="13.5" thickTop="1" x14ac:dyDescent="0.2">
      <c r="A10" s="122" t="s">
        <v>5435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3</v>
      </c>
      <c r="D10" s="99">
        <f t="shared" ref="D10:D18" si="0">VALUE(C10)</f>
        <v>3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07" t="s">
        <v>5410</v>
      </c>
      <c r="K10" s="47" t="str">
        <f>VLOOKUP(J10,'Species List'!$H$1:$J$9,2,FALSE)</f>
        <v>&gt;0-1%</v>
      </c>
      <c r="L10" s="47">
        <f>VLOOKUP(K10,'Species List'!$I$1:$N$8,2,FALSE)</f>
        <v>0.5</v>
      </c>
      <c r="M10" s="100">
        <f t="shared" ref="M10:M76" si="1">VALUE(L10)</f>
        <v>0.5</v>
      </c>
      <c r="N10" s="110">
        <f t="shared" ref="N10:N75" si="2">L10/$L$151</f>
        <v>5.7471264367816091E-3</v>
      </c>
      <c r="O10" s="110">
        <f t="shared" ref="O10:O76" si="3">D10*N10</f>
        <v>1.7241379310344827E-2</v>
      </c>
    </row>
    <row r="11" spans="1:15" x14ac:dyDescent="0.2">
      <c r="A11" s="122" t="s">
        <v>373</v>
      </c>
      <c r="B11" s="44" t="str">
        <f>IF(LEN(VLOOKUP(A11,'Species List'!$A:$G,2,FALSE))=0,"",VLOOKUP(A11,'Species List'!$A:$G,2,FALSE))</f>
        <v>big bluestem</v>
      </c>
      <c r="C11" s="44">
        <f>IF(LEN(VLOOKUP(A11,'Species List'!$A:$G,3,FALSE))=0,"",VLOOKUP(A11,'Species List'!$A:$G,3,FALSE))</f>
        <v>4</v>
      </c>
      <c r="D11" s="99">
        <f t="shared" si="0"/>
        <v>4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FAC-</v>
      </c>
      <c r="H11" s="44">
        <f>VLOOKUP(A11,'Species List'!$A:$G,7,FALSE)</f>
        <v>0</v>
      </c>
      <c r="J11" s="107">
        <v>4</v>
      </c>
      <c r="K11" s="47" t="str">
        <f>VLOOKUP(J11,'Species List'!$H$1:$J$9,2,FALSE)</f>
        <v>&gt;50-75%</v>
      </c>
      <c r="L11" s="47">
        <f>VLOOKUP(K11,'Species List'!$I$1:$N$8,2,FALSE)</f>
        <v>62.5</v>
      </c>
      <c r="M11" s="100">
        <f t="shared" si="1"/>
        <v>62.5</v>
      </c>
      <c r="N11" s="110">
        <f t="shared" si="2"/>
        <v>0.7183908045977011</v>
      </c>
      <c r="O11" s="110">
        <f t="shared" si="3"/>
        <v>2.8735632183908044</v>
      </c>
    </row>
    <row r="12" spans="1:15" x14ac:dyDescent="0.2">
      <c r="A12" s="122" t="s">
        <v>756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6</v>
      </c>
      <c r="D12" s="99">
        <f t="shared" si="0"/>
        <v>6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07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si="1"/>
        <v>15</v>
      </c>
      <c r="N12" s="109">
        <f t="shared" si="2"/>
        <v>0.17241379310344829</v>
      </c>
      <c r="O12" s="109">
        <f t="shared" si="3"/>
        <v>1.0344827586206897</v>
      </c>
    </row>
    <row r="13" spans="1:15" x14ac:dyDescent="0.2">
      <c r="A13" s="122" t="s">
        <v>783</v>
      </c>
      <c r="B13" s="44" t="str">
        <f>IF(LEN(VLOOKUP(A13,'Species List'!$A:$G,2,FALSE))=0,"",VLOOKUP(A13,'Species List'!$A:$G,2,FALSE))</f>
        <v>smooth brome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07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98">
        <f t="shared" si="2"/>
        <v>3.4482758620689655E-2</v>
      </c>
      <c r="O13" s="98">
        <f t="shared" si="3"/>
        <v>0</v>
      </c>
    </row>
    <row r="14" spans="1:15" x14ac:dyDescent="0.2">
      <c r="A14" s="133" t="s">
        <v>5447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3</v>
      </c>
      <c r="D14" s="99">
        <f t="shared" si="0"/>
        <v>3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07" t="s">
        <v>5408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98">
        <f t="shared" si="2"/>
        <v>3.4482758620689655E-2</v>
      </c>
      <c r="O14" s="98">
        <f t="shared" si="3"/>
        <v>0.10344827586206896</v>
      </c>
    </row>
    <row r="15" spans="1:15" x14ac:dyDescent="0.2">
      <c r="A15" s="122" t="s">
        <v>3443</v>
      </c>
      <c r="B15" s="44" t="str">
        <f>IF(LEN(VLOOKUP(A15,'Species List'!$A:$G,2,FALSE))=0,"",VLOOKUP(A15,'Species List'!$A:$G,2,FALSE))</f>
        <v>Kentucky bluegrass</v>
      </c>
      <c r="C15" s="44">
        <f>IF(LEN(VLOOKUP(A15,'Species List'!$A:$G,3,FALSE))=0,"",VLOOKUP(A15,'Species List'!$A:$G,3,FALSE))</f>
        <v>0</v>
      </c>
      <c r="D15" s="99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07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3.4482758620689655E-2</v>
      </c>
      <c r="O15" s="98">
        <f t="shared" si="3"/>
        <v>0</v>
      </c>
    </row>
    <row r="16" spans="1:15" x14ac:dyDescent="0.2">
      <c r="A16" s="105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7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1"/>
        <v>#N/A</v>
      </c>
      <c r="N16" s="98" t="e">
        <f t="shared" si="2"/>
        <v>#N/A</v>
      </c>
      <c r="O16" s="98" t="e">
        <f t="shared" si="3"/>
        <v>#N/A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7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7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ref="N76:N139" si="5">L76/$L$151</f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ref="M77:M140" si="7">VALUE(L77)</f>
        <v>#N/A</v>
      </c>
      <c r="N77" s="98" t="e">
        <f t="shared" si="5"/>
        <v>#N/A</v>
      </c>
      <c r="O77" s="98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7"/>
        <v>#N/A</v>
      </c>
      <c r="N78" s="98" t="e">
        <f t="shared" si="5"/>
        <v>#N/A</v>
      </c>
      <c r="O78" s="98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si="7"/>
        <v>#N/A</v>
      </c>
      <c r="N79" s="98" t="e">
        <f t="shared" si="5"/>
        <v>#N/A</v>
      </c>
      <c r="O79" s="98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ref="N140:N149" si="9">L140/$L$151</f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ref="M141:M150" si="11">VALUE(L141)</f>
        <v>#N/A</v>
      </c>
      <c r="N141" s="98" t="e">
        <f t="shared" si="9"/>
        <v>#N/A</v>
      </c>
      <c r="O141" s="98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11"/>
        <v>#N/A</v>
      </c>
      <c r="N142" s="98" t="e">
        <f t="shared" si="9"/>
        <v>#N/A</v>
      </c>
      <c r="O142" s="98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si="11"/>
        <v>#N/A</v>
      </c>
      <c r="N143" s="98" t="e">
        <f t="shared" si="9"/>
        <v>#N/A</v>
      </c>
      <c r="O143" s="98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9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100" t="e">
        <f t="shared" si="11"/>
        <v>#N/A</v>
      </c>
      <c r="N150" s="98" t="e">
        <f>L150/$L$151</f>
        <v>#N/A</v>
      </c>
      <c r="O150" s="98" t="e">
        <f t="shared" si="12"/>
        <v>#N/A</v>
      </c>
    </row>
    <row r="151" spans="1:15" ht="14.25" thickTop="1" thickBot="1" x14ac:dyDescent="0.25">
      <c r="I151" s="157" t="s">
        <v>5377</v>
      </c>
      <c r="J151" s="158"/>
      <c r="K151" s="159"/>
      <c r="L151" s="63">
        <f>SUMIF(L10:L150,"&gt;=0")</f>
        <v>87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0" t="s">
        <v>4837</v>
      </c>
      <c r="B1" s="160"/>
      <c r="C1" s="160"/>
      <c r="D1" s="160"/>
      <c r="E1" s="160"/>
      <c r="F1" s="160"/>
    </row>
    <row r="2" spans="1:6" s="31" customFormat="1" ht="24" customHeight="1" thickTop="1" thickBot="1" x14ac:dyDescent="0.4">
      <c r="A2" s="55"/>
      <c r="B2" s="56" t="s">
        <v>5420</v>
      </c>
      <c r="C2" s="56" t="s">
        <v>5416</v>
      </c>
      <c r="D2" s="56" t="s">
        <v>5417</v>
      </c>
      <c r="E2" s="56" t="s">
        <v>5418</v>
      </c>
      <c r="F2" s="56" t="s">
        <v>5419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5411</v>
      </c>
      <c r="B4" s="102">
        <f>COUNTIF(Woody!$F$10:$F$149,"Native")</f>
        <v>9</v>
      </c>
      <c r="C4" s="102">
        <f>COUNTIF(Forbs!$F$10:$F$148,"Native")</f>
        <v>14</v>
      </c>
      <c r="D4" s="102">
        <f>COUNTIF(Grasses!$F$10:$F$149,"Native")</f>
        <v>4</v>
      </c>
      <c r="E4" s="102">
        <f>AVERAGE(B4:D4)</f>
        <v>9</v>
      </c>
      <c r="F4" s="102">
        <f>SUM(B4:D4)</f>
        <v>27</v>
      </c>
    </row>
    <row r="5" spans="1:6" ht="18" x14ac:dyDescent="0.25">
      <c r="A5" s="53" t="s">
        <v>4842</v>
      </c>
      <c r="B5" s="102">
        <f>COUNTIF(Woody!$F10:$F199,"Introduced")</f>
        <v>3</v>
      </c>
      <c r="C5" s="102">
        <f>COUNTIF(Forbs!$F10:$F199,"Introduced")</f>
        <v>7</v>
      </c>
      <c r="D5" s="102">
        <f>COUNTIF(Grasses!$F10:$F199,"Introduced")</f>
        <v>2</v>
      </c>
      <c r="E5" s="102">
        <f t="shared" ref="E5:E6" si="0">AVERAGE(B5:D5)</f>
        <v>4</v>
      </c>
      <c r="F5" s="102">
        <f>SUM(B5:D5)</f>
        <v>12</v>
      </c>
    </row>
    <row r="6" spans="1:6" s="81" customFormat="1" ht="21" x14ac:dyDescent="0.35">
      <c r="A6" s="53" t="s">
        <v>5412</v>
      </c>
      <c r="B6" s="102">
        <f>SUM(B4:B5)</f>
        <v>12</v>
      </c>
      <c r="C6" s="102">
        <f>SUM(C4:C5)</f>
        <v>21</v>
      </c>
      <c r="D6" s="102">
        <f>SUM(D4:D5)</f>
        <v>6</v>
      </c>
      <c r="E6" s="102">
        <f t="shared" si="0"/>
        <v>13</v>
      </c>
      <c r="F6" s="102">
        <f>SUM(B6:D6)</f>
        <v>39</v>
      </c>
    </row>
    <row r="7" spans="1:6" ht="18" x14ac:dyDescent="0.25">
      <c r="A7" s="53" t="s">
        <v>4843</v>
      </c>
      <c r="B7" s="102">
        <f>AVERAGEIF(Woody!D10:D150,"&gt;0")</f>
        <v>2.6666666666666665</v>
      </c>
      <c r="C7" s="102">
        <f>AVERAGEIF(Forbs!D10:D150,"&gt;0")</f>
        <v>2.3333333333333335</v>
      </c>
      <c r="D7" s="102">
        <f>AVERAGEIF(Grasses!D10:D150,"&gt;0")</f>
        <v>4</v>
      </c>
      <c r="E7" s="102">
        <f>AVERAGE(B7:D7)</f>
        <v>3</v>
      </c>
      <c r="F7" s="102">
        <f>(SUMIF(Woody!D10:D150,"&gt;0")+SUMIF(Forbs!D10:D150,"&gt;0")+SUMIF(Grasses!D10:D150,"&gt;0"))/(COUNTIF(Woody!D10:D150,"&gt;0")+COUNTIF(Forbs!D10:D150,"&gt;0")+COUNTIF(Grasses!D10:D150,"&gt;0"))</f>
        <v>2.72</v>
      </c>
    </row>
    <row r="8" spans="1:6" s="31" customFormat="1" ht="21" x14ac:dyDescent="0.35">
      <c r="A8" s="53" t="s">
        <v>5413</v>
      </c>
      <c r="B8" s="102">
        <f>AVERAGEIF(Woody!D10:D150,"&gt;=0")</f>
        <v>2</v>
      </c>
      <c r="C8" s="102">
        <f>AVERAGEIF(Forbs!D10:D150,"&gt;=0")</f>
        <v>1.2727272727272727</v>
      </c>
      <c r="D8" s="102">
        <f>AVERAGEIF(Grasses!D10:D150,"&gt;=0")</f>
        <v>2.6666666666666665</v>
      </c>
      <c r="E8" s="102">
        <f>AVERAGE(B8:D8)</f>
        <v>1.9797979797979799</v>
      </c>
      <c r="F8" s="102">
        <f>(SUMIF(Woody!D10:D150,"&gt;=0")+SUMIF(Forbs!D10:D150,"&gt;=0")+SUMIF(Grasses!D10:D150,"&gt;=0"))/(COUNTIF(Woody!D10:D150,"&gt;=0")+COUNTIF(Forbs!D10:D150,"&gt;=0")+COUNTIF(Grasses!D10:D150,"&gt;=0"))</f>
        <v>1.7</v>
      </c>
    </row>
    <row r="9" spans="1:6" ht="18" x14ac:dyDescent="0.25">
      <c r="A9" s="53" t="s">
        <v>4836</v>
      </c>
      <c r="B9" s="102">
        <f>SQRT(B4)*B7</f>
        <v>8</v>
      </c>
      <c r="C9" s="102">
        <f>SQRT(C4)*C7</f>
        <v>8.7305339024725299</v>
      </c>
      <c r="D9" s="102">
        <f>SQRT(D4)*D7</f>
        <v>8</v>
      </c>
      <c r="E9" s="102">
        <f>SQRT(E4)*E7</f>
        <v>9</v>
      </c>
      <c r="F9" s="102">
        <f>SQRT(F4)*F7</f>
        <v>14.133534589762039</v>
      </c>
    </row>
    <row r="10" spans="1:6" s="82" customFormat="1" ht="21" x14ac:dyDescent="0.35">
      <c r="A10" s="53" t="s">
        <v>5414</v>
      </c>
      <c r="B10" s="102">
        <f>SQRT(B6)*B8</f>
        <v>6.9282032302755088</v>
      </c>
      <c r="C10" s="102">
        <f>SQRT(C6)*C8</f>
        <v>5.8323690663074323</v>
      </c>
      <c r="D10" s="102">
        <f>SQRT(D6)*D8</f>
        <v>6.5319726474218074</v>
      </c>
      <c r="E10" s="102">
        <f>SQRT(E6)*E8</f>
        <v>7.1382631312216356</v>
      </c>
      <c r="F10" s="102">
        <f>SQRT(F6)*F8</f>
        <v>10.616496597277276</v>
      </c>
    </row>
    <row r="11" spans="1:6" ht="18" x14ac:dyDescent="0.25">
      <c r="A11" s="53" t="s">
        <v>4844</v>
      </c>
      <c r="B11" s="102">
        <f>SUMIF(Woody!$M$10:$M$150,"&gt;=0")</f>
        <v>40.5</v>
      </c>
      <c r="C11" s="102">
        <f>SUMIF(Forbs!$M$10:$M$151,"&gt;=0")</f>
        <v>89.5</v>
      </c>
      <c r="D11" s="102">
        <f>SUMIF(Grasses!$M$10:$M$150,"&gt;=0")</f>
        <v>87</v>
      </c>
      <c r="E11" s="102">
        <f>AVERAGE(B11:D11)</f>
        <v>72.333333333333329</v>
      </c>
      <c r="F11" s="102">
        <f>SUM(B11:D11)</f>
        <v>217</v>
      </c>
    </row>
    <row r="12" spans="1:6" ht="18" x14ac:dyDescent="0.25">
      <c r="A12" s="53" t="s">
        <v>5378</v>
      </c>
      <c r="B12" s="102">
        <f>SUMIF(Woody!$F$10:$F$150,"Introduced",Woody!$L$10:$L$150)</f>
        <v>6.5</v>
      </c>
      <c r="C12" s="102">
        <f>SUMIF(Forbs!$F$10:$F$151,"Introduced",Forbs!$L$10:$L$151)</f>
        <v>13.5</v>
      </c>
      <c r="D12" s="102">
        <f>SUMIF(Grasses!$F$10:$F$150,"Introduced",Grasses!$L$10:$L$150)</f>
        <v>6</v>
      </c>
      <c r="E12" s="102">
        <f>AVERAGE(B12:D12)</f>
        <v>8.6666666666666661</v>
      </c>
      <c r="F12" s="102">
        <f>SUM(B12:D12)</f>
        <v>26</v>
      </c>
    </row>
    <row r="13" spans="1:6" ht="18.75" thickBot="1" x14ac:dyDescent="0.3">
      <c r="A13" s="54" t="s">
        <v>4845</v>
      </c>
      <c r="B13" s="103">
        <f>B12/B11</f>
        <v>0.16049382716049382</v>
      </c>
      <c r="C13" s="103">
        <f>C12/C11</f>
        <v>0.15083798882681565</v>
      </c>
      <c r="D13" s="103">
        <f>D12/D11</f>
        <v>6.8965517241379309E-2</v>
      </c>
      <c r="E13" s="103">
        <f>E12/E11</f>
        <v>0.11981566820276497</v>
      </c>
      <c r="F13" s="103">
        <f>F12/F11</f>
        <v>0.11981566820276497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SUMIF(Woody!$O$10:$O$150,"&gt;=0")</f>
        <v>1.6419753086419755</v>
      </c>
      <c r="C15" s="101">
        <f>SUMIF(Forbs!$O$10:$O$150,"&gt;=0")</f>
        <v>1.6592178770949724</v>
      </c>
      <c r="D15" s="101">
        <f>SUMIF(Grasses!$O$10:$O$150,"&gt;=0")</f>
        <v>4.0287356321839081</v>
      </c>
      <c r="E15" s="101">
        <f>AVERAGE(B15:D15)</f>
        <v>2.4433096059736186</v>
      </c>
      <c r="F15" s="102">
        <f>SUM(B15:D15)</f>
        <v>7.3299288179208562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2025-11-26T14:58:23Z</dcterms:modified>
</cp:coreProperties>
</file>