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407EB5A2-1E2A-41FC-BE5A-078D6D523EC0}" xr6:coauthVersionLast="45" xr6:coauthVersionMax="45" xr10:uidLastSave="{00000000-0000-0000-0000-000000000000}"/>
  <bookViews>
    <workbookView xWindow="-12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<sst xmlns="http://schemas.openxmlformats.org/spreadsheetml/2006/main" count="13155" uniqueCount="5447">
  <si>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</si>
  <si>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</si>
  <si>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</si>
  <si>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</si>
  <si>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</si>
  <si>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</si>
  <si>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</si>
  <si>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</si>
  <si>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</si>
  <si>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</si>
  <si>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</si>
  <si>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</si>
  <si>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</si>
  <si>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</si>
  <si>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</si>
  <si>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</si>
  <si>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</si>
  <si>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</si>
  <si>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</si>
  <si>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</si>
  <si>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</si>
  <si>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</si>
  <si>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</si>
  <si>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</si>
  <si>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</si>
  <si>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</si>
  <si>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</si>
  <si>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</si>
  <si>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</si>
  <si>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</si>
  <si>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</si>
  <si>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</si>
  <si>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</si>
  <si>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</si>
  <si>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</si>
  <si>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</si>
  <si>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</si>
  <si>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</si>
  <si>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</si>
  <si>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</si>
  <si>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</si>
  <si>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</si>
  <si>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</si>
  <si>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</si>
  <si>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</si>
  <si>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</si>
  <si>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</si>
  <si>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</si>
  <si>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</si>
  <si>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</si>
  <si>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</si>
  <si>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</si>
  <si>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</si>
  <si>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</si>
  <si>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</si>
  <si>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</si>
  <si>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</si>
  <si>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</si>
  <si>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</si>
  <si>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</si>
  <si>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</si>
  <si>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</si>
  <si>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</si>
  <si>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</si>
  <si>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</si>
  <si>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</si>
  <si>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</si>
  <si>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</si>
  <si>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</si>
  <si>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</si>
  <si>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</si>
  <si>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</si>
  <si>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</si>
  <si>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</si>
  <si>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</si>
  <si>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</si>
  <si>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</si>
  <si>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</si>
  <si>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</si>
  <si>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</si>
  <si>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</si>
  <si>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</si>
  <si>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</si>
  <si>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</si>
  <si>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</si>
  <si>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</si>
  <si>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</si>
  <si>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</si>
  <si>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</si>
  <si>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</si>
  <si>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</si>
  <si>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</si>
  <si>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</si>
  <si>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</si>
  <si>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</si>
  <si>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</si>
  <si>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</si>
  <si>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</si>
  <si>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</si>
  <si>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</si>
  <si>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</si>
  <si>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</si>
  <si>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</si>
  <si>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</si>
  <si>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</si>
  <si>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</si>
  <si>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</si>
  <si>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</si>
  <si>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</si>
  <si>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</si>
  <si>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</si>
  <si>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</si>
  <si>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</si>
  <si>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</si>
  <si>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</si>
  <si>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</si>
  <si>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</si>
  <si>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</si>
  <si>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</si>
  <si>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</si>
  <si>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</si>
  <si>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</si>
  <si>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</si>
  <si>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</si>
  <si>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</si>
  <si>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</si>
  <si>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</si>
  <si>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</si>
  <si>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</si>
  <si>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</si>
  <si>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</si>
  <si>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</si>
  <si>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</si>
  <si>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</si>
  <si>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</si>
  <si>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</si>
  <si>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</si>
  <si>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</si>
  <si>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</si>
  <si>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</si>
  <si>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</si>
  <si>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</si>
  <si>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</si>
  <si>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</si>
  <si>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</si>
  <si>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</si>
  <si>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</si>
  <si>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</si>
  <si>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</si>
  <si>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</si>
  <si>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</si>
  <si>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</si>
  <si>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</si>
  <si>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</si>
  <si>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</si>
  <si>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</si>
  <si>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</si>
  <si>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</si>
  <si>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</si>
  <si>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</si>
  <si>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</si>
  <si>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</si>
  <si>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</si>
  <si>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</si>
  <si>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</si>
  <si>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</si>
  <si>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</si>
  <si>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</si>
  <si>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</si>
  <si>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</si>
  <si>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</si>
  <si>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</si>
  <si>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</si>
  <si>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</si>
  <si>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</si>
  <si>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</si>
  <si>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</si>
  <si>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</si>
  <si>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</si>
  <si>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</si>
  <si>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</si>
  <si>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</si>
  <si>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</si>
  <si>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</si>
  <si>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</si>
  <si>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</si>
  <si>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</si>
  <si>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</si>
  <si>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</si>
  <si>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</si>
  <si>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</si>
  <si>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</si>
  <si>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</si>
  <si>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</si>
  <si>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</si>
  <si>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</si>
  <si>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</si>
  <si>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</si>
  <si>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</si>
  <si>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</si>
  <si>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</si>
  <si>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</si>
  <si>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</si>
  <si>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</si>
  <si>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</si>
  <si>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</si>
  <si>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</si>
  <si>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</si>
  <si>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</si>
  <si>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</si>
  <si>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</si>
  <si>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</si>
  <si>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</si>
  <si>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</si>
  <si>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</si>
  <si>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</si>
  <si>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</si>
  <si>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</si>
  <si>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</si>
  <si>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</si>
  <si>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</si>
  <si>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</si>
  <si>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</si>
  <si>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</si>
  <si>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</si>
  <si>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</si>
  <si>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</si>
  <si>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</si>
  <si>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</si>
  <si>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</si>
  <si>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</si>
  <si>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</si>
  <si>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</si>
  <si>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</si>
  <si>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</si>
  <si>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</si>
  <si>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</si>
  <si>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</si>
  <si>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</si>
  <si>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</si>
  <si>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</si>
  <si>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</si>
  <si>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</si>
  <si>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</si>
  <si>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</si>
  <si>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</si>
  <si>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</si>
  <si>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</si>
  <si>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</si>
  <si>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</si>
  <si>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</si>
  <si>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</si>
  <si>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</si>
  <si>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</si>
  <si>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</si>
  <si>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</si>
  <si>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</si>
  <si>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</si>
  <si>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</si>
  <si>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</si>
  <si>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</si>
  <si>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</si>
  <si>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</si>
  <si>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</si>
  <si>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</si>
  <si>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</si>
  <si>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</si>
  <si>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</si>
  <si>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</si>
  <si>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</si>
  <si>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</si>
  <si>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</si>
  <si>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</si>
  <si>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</si>
  <si>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</si>
  <si>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</si>
  <si>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</si>
  <si>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</si>
  <si>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</si>
  <si>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</si>
  <si>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</si>
  <si>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</si>
  <si>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</si>
  <si>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</si>
  <si>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</si>
  <si>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</si>
  <si>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</si>
  <si>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</si>
  <si>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</si>
  <si>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</si>
  <si>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</si>
  <si>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</si>
  <si>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</si>
  <si>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</si>
  <si>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</si>
  <si>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</si>
  <si>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</si>
  <si>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</si>
  <si>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</si>
  <si>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</si>
  <si>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</si>
  <si>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</si>
  <si>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</si>
  <si>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</si>
  <si>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</si>
  <si>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</si>
  <si>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</si>
  <si>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</si>
  <si>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</si>
  <si>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</si>
  <si>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</si>
  <si>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</si>
  <si>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</si>
  <si>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</si>
  <si>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</si>
  <si>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</si>
  <si>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</si>
  <si>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</si>
  <si>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</si>
  <si>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</si>
  <si>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</si>
  <si>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</si>
  <si>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</si>
  <si>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</si>
  <si>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</si>
  <si>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</si>
  <si>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</si>
  <si>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</si>
  <si>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</si>
  <si>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</si>
  <si>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</si>
  <si>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</si>
  <si>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</si>
  <si>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</si>
  <si>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</si>
  <si>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</si>
  <si>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</si>
  <si>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</si>
  <si>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</si>
  <si>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</si>
  <si>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</si>
  <si>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</si>
  <si>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</si>
  <si>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</si>
  <si>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</si>
  <si>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</si>
  <si>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</si>
  <si>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</si>
  <si>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</si>
  <si>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</si>
  <si>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</si>
  <si>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</si>
  <si>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</si>
  <si>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</si>
  <si>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</si>
  <si>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</si>
  <si>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</si>
  <si>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</si>
  <si>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</si>
  <si>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</si>
  <si>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</si>
  <si>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</si>
  <si>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</si>
  <si>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</si>
  <si>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</si>
  <si>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</si>
  <si>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</si>
  <si>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</si>
  <si>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</si>
  <si>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</si>
  <si>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</si>
  <si>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</si>
  <si>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</si>
  <si>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</si>
  <si>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</si>
  <si>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</si>
  <si>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</si>
  <si>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</si>
  <si>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</si>
  <si>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</si>
  <si>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</si>
  <si>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</si>
  <si>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</si>
  <si>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</si>
  <si>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</si>
  <si>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</si>
  <si>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</si>
  <si>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</si>
  <si>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</si>
  <si>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</si>
  <si>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</si>
  <si>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</si>
  <si>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</si>
  <si>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</si>
  <si>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</si>
  <si>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</si>
  <si>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</si>
  <si>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</si>
  <si>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</si>
  <si>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</si>
  <si>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</si>
  <si>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</si>
  <si>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</si>
  <si>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</si>
  <si>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</si>
  <si>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</si>
  <si>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</si>
  <si>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</si>
  <si>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</si>
  <si>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</si>
  <si>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</si>
  <si>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</si>
  <si>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</si>
  <si>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</si>
  <si>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</si>
  <si>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</si>
  <si>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</si>
  <si>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</si>
  <si>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</si>
  <si>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</si>
  <si>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</si>
  <si>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</si>
  <si>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</si>
  <si>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</si>
  <si>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</si>
  <si>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</si>
  <si>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</si>
  <si>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</si>
  <si>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</si>
  <si>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</si>
  <si>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</si>
  <si>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</si>
  <si>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</si>
  <si>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</si>
  <si>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</si>
  <si>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</si>
  <si>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</si>
  <si>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</si>
  <si>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</si>
  <si>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</si>
  <si>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</si>
  <si>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</si>
  <si>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</si>
  <si>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</si>
  <si>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</si>
  <si>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</si>
  <si>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</si>
  <si>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</si>
  <si>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</si>
  <si>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</si>
  <si>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</si>
  <si>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</si>
  <si>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</si>
  <si>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</si>
  <si>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</si>
  <si>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</si>
  <si>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</si>
  <si>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</si>
  <si>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</si>
  <si>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</si>
  <si>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</si>
  <si>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</si>
  <si>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</si>
  <si>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</si>
  <si>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</si>
  <si>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</si>
  <si>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</si>
  <si>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</si>
  <si>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</si>
  <si>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</si>
  <si>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</si>
  <si>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</si>
  <si>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</si>
  <si>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</si>
  <si>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</si>
  <si>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</si>
  <si>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</si>
  <si>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</si>
  <si>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</si>
  <si>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</si>
  <si>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</si>
  <si>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</si>
  <si>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</si>
  <si>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</si>
  <si>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</si>
  <si>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</si>
  <si>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</si>
  <si>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</si>
  <si>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</si>
  <si>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</si>
  <si>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</si>
  <si>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</si>
  <si>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</si>
  <si>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</si>
  <si>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</si>
  <si>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</si>
  <si>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</si>
  <si>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</si>
  <si>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</si>
  <si>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</si>
  <si>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</si>
  <si>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</si>
  <si>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</si>
  <si>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</si>
  <si>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</si>
  <si>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</si>
  <si>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</si>
  <si>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</si>
  <si>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</si>
  <si>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</si>
  <si>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</si>
  <si>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</si>
  <si>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</si>
  <si>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</si>
  <si>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</si>
  <si>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</si>
  <si>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</si>
  <si>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</si>
  <si>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</si>
  <si>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</si>
  <si>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</si>
  <si>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</si>
  <si>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</si>
  <si>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</si>
  <si>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</si>
  <si>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</si>
  <si>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</si>
  <si>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</si>
  <si>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</si>
  <si>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</si>
  <si>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</si>
  <si>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</si>
  <si>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</si>
  <si>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</si>
  <si>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</si>
  <si>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</si>
  <si>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</si>
  <si>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</si>
  <si>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</si>
  <si>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</si>
  <si>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</si>
  <si>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</si>
  <si>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</si>
  <si>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</si>
  <si>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</si>
  <si>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</si>
  <si>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</si>
  <si>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</si>
  <si>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</si>
  <si>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</si>
  <si>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</si>
  <si>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</si>
  <si>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</si>
  <si>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</si>
  <si>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</si>
  <si>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</si>
  <si>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</si>
  <si>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</si>
  <si>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</si>
  <si>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</si>
  <si>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</si>
  <si>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</si>
  <si>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</si>
  <si>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</si>
  <si>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</si>
  <si>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</si>
  <si>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</si>
  <si>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</si>
  <si>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</si>
  <si>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</si>
  <si>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</si>
  <si>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</si>
  <si>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</si>
  <si>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</si>
  <si>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</si>
  <si>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</si>
  <si>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</si>
  <si>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</si>
  <si>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</si>
  <si>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</si>
  <si>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</si>
  <si>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</si>
  <si>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</si>
  <si>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</si>
  <si>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</si>
  <si>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</si>
  <si>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</si>
  <si>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</si>
  <si>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</si>
  <si>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</si>
  <si>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</si>
  <si>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</si>
  <si>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</si>
  <si>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</si>
  <si>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</si>
  <si>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</si>
  <si>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</si>
  <si>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</si>
  <si>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</si>
  <si>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</si>
  <si>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</si>
  <si>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</si>
  <si>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</si>
  <si>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</si>
  <si>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</si>
  <si>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</si>
  <si>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</si>
  <si>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</si>
  <si>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</si>
  <si>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</si>
  <si>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</si>
  <si>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</si>
  <si>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</si>
  <si>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</si>
  <si>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</si>
  <si>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</si>
  <si>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</si>
  <si>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</si>
  <si>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</si>
  <si>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</si>
  <si>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</si>
  <si>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</si>
  <si>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</si>
  <si>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</si>
  <si>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</si>
  <si>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</si>
  <si>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</si>
  <si>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</si>
  <si>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</si>
  <si>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</si>
  <si>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</si>
  <si>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</si>
  <si>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</si>
  <si>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</si>
  <si>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</si>
  <si>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</si>
  <si>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</si>
  <si>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</si>
  <si>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</si>
  <si>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</si>
  <si>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</si>
  <si>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</si>
  <si>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</si>
  <si>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</si>
  <si>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</si>
  <si>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</si>
  <si>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</si>
  <si>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</si>
  <si>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</si>
  <si>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</si>
  <si>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</si>
  <si>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</si>
  <si>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</si>
  <si>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</si>
  <si>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</si>
  <si>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</si>
  <si>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</si>
  <si>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</si>
  <si>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</si>
  <si>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</si>
  <si>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</si>
  <si>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</si>
  <si>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</si>
  <si>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</si>
  <si>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</si>
  <si>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</si>
  <si>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</si>
  <si>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</si>
  <si>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</si>
  <si>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</si>
  <si>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</si>
  <si>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</si>
  <si>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</si>
  <si>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</si>
  <si>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</si>
  <si>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</si>
  <si>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</si>
  <si>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</si>
  <si>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</si>
  <si>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</si>
  <si>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</si>
  <si>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</si>
  <si>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</si>
  <si>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</si>
  <si>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</si>
  <si>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</si>
  <si>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</si>
  <si>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</si>
  <si>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</si>
  <si>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</si>
  <si>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</si>
  <si>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</si>
  <si>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</si>
  <si>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</si>
  <si>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</si>
  <si>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</si>
  <si>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</si>
  <si>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</si>
  <si>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</si>
  <si>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</si>
  <si>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</si>
  <si>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</si>
  <si>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</si>
  <si>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</si>
  <si>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</si>
  <si>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</si>
  <si>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</si>
  <si>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</si>
  <si>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</si>
  <si>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</si>
  <si>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</si>
  <si>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</si>
  <si>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</si>
  <si>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</si>
  <si>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</si>
  <si>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</si>
  <si>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</si>
  <si>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</si>
  <si>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</si>
  <si>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</si>
  <si>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</si>
  <si>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</si>
  <si>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</si>
  <si>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</si>
  <si>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</si>
  <si>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</si>
  <si>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</si>
  <si>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</si>
  <si>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</si>
  <si>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</si>
  <si>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</si>
  <si>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</si>
  <si>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</si>
  <si>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</si>
  <si>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</si>
  <si>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</si>
  <si>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</si>
  <si>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</si>
  <si>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</si>
  <si>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</si>
  <si>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</si>
  <si>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</si>
  <si>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</si>
  <si>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</si>
  <si>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</si>
  <si>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</si>
  <si>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</si>
  <si>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</si>
  <si>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</si>
  <si>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</si>
  <si>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</si>
  <si>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</si>
  <si>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</si>
  <si>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</si>
  <si>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</si>
  <si>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</si>
  <si>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</si>
  <si>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</si>
  <si>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</si>
  <si>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</si>
  <si>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</si>
  <si>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</si>
  <si>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</si>
  <si>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</si>
  <si>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</si>
  <si>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</si>
  <si>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</si>
  <si>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</si>
  <si>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</si>
  <si>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</si>
  <si>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</si>
  <si>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</si>
  <si>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</si>
  <si>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</si>
  <si>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</si>
  <si>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</si>
  <si>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</si>
  <si>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</si>
  <si>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</si>
  <si>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</si>
  <si>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</si>
  <si>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</si>
  <si>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</si>
  <si>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</si>
  <si>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</si>
  <si>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</si>
  <si>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</si>
  <si>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</si>
  <si>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</si>
  <si>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</si>
  <si>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</si>
  <si>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</si>
  <si>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</si>
  <si>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</si>
  <si>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</si>
  <si>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</si>
  <si>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</si>
  <si>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</si>
  <si>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</si>
  <si>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</si>
  <si>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</si>
  <si>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</si>
  <si>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</si>
  <si>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</si>
  <si>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</si>
  <si>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</si>
  <si>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</si>
  <si>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</si>
  <si>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</si>
  <si>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</si>
  <si>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</si>
  <si>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</si>
  <si>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</si>
  <si>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</si>
  <si>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</si>
  <si>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</si>
  <si>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</si>
  <si>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</si>
  <si>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</si>
  <si>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</si>
  <si>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</si>
  <si>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</si>
  <si>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</si>
  <si>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</si>
  <si>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</si>
  <si>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</si>
  <si>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</si>
  <si>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</si>
  <si>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</si>
  <si>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</si>
  <si>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</si>
  <si>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</si>
  <si>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</si>
  <si>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</si>
  <si>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</si>
  <si>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</si>
  <si>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</si>
  <si>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</si>
  <si>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</si>
  <si>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</si>
  <si>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</si>
  <si>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</si>
  <si>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</si>
  <si>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</si>
  <si>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</si>
  <si>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</si>
  <si>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</si>
  <si>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</si>
  <si>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</si>
  <si>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</si>
  <si>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</si>
  <si>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</si>
  <si>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</si>
  <si>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</si>
  <si>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</si>
  <si>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</si>
  <si>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</si>
  <si>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</si>
  <si>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</si>
  <si>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</si>
  <si>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</si>
  <si>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</si>
  <si>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</si>
  <si>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</si>
  <si>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</si>
  <si>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</si>
  <si>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</si>
  <si>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</si>
  <si>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</si>
  <si>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</si>
  <si>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</si>
  <si>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</si>
  <si>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</si>
  <si>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</si>
  <si>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</si>
  <si>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</si>
  <si>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</si>
  <si>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</si>
  <si>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</si>
  <si>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</si>
  <si>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</si>
  <si>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</si>
  <si>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</si>
  <si>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</si>
  <si>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</si>
  <si>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</si>
  <si>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</si>
  <si>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</si>
  <si>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</si>
  <si>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</si>
  <si>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</si>
  <si>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</si>
  <si>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</si>
  <si>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</si>
  <si>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</si>
  <si>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</si>
  <si>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</si>
  <si>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</si>
  <si>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</si>
  <si>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</si>
  <si>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</si>
  <si>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</si>
  <si>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</si>
  <si>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</si>
  <si>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</si>
  <si>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</si>
  <si>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</si>
  <si>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</si>
  <si>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</si>
  <si>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</si>
  <si>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</si>
  <si>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</si>
  <si>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</si>
  <si>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</si>
  <si>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</si>
  <si>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</si>
  <si>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</si>
  <si>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</si>
  <si>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</si>
  <si>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</si>
  <si>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</si>
  <si>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</si>
  <si>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</si>
  <si>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</si>
  <si>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</si>
  <si>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</si>
  <si>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</si>
  <si>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</si>
  <si>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</si>
  <si>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</si>
  <si>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</si>
  <si>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</si>
  <si>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</si>
  <si>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</si>
  <si>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</si>
  <si>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</si>
  <si>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</si>
  <si>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</si>
  <si>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</si>
  <si>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</si>
  <si>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</si>
  <si>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</si>
  <si>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</si>
  <si>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</si>
  <si>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</si>
  <si>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</si>
  <si>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</si>
  <si>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</si>
  <si>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</si>
  <si>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</si>
  <si>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</si>
  <si>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</si>
  <si>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</si>
  <si>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</si>
  <si>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</si>
  <si>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</si>
  <si>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</si>
  <si>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</si>
  <si>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</si>
  <si>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</si>
  <si>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</si>
  <si>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</si>
  <si>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</si>
  <si>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</si>
  <si>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</si>
  <si>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</si>
  <si>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</si>
  <si>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</si>
  <si>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</si>
  <si>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</si>
  <si>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</si>
  <si>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</si>
  <si>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</si>
  <si>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</si>
  <si>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</si>
  <si>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</si>
  <si>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</si>
  <si>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</si>
  <si>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</si>
  <si>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</si>
  <si>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</si>
  <si>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</si>
  <si>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</si>
  <si>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</si>
  <si>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</si>
  <si>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</si>
  <si>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</si>
  <si>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</si>
  <si>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</si>
  <si>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</si>
  <si>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</si>
  <si>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</si>
  <si>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</si>
  <si>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</si>
  <si>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</si>
  <si>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</si>
  <si>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</si>
  <si>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</si>
  <si>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</si>
  <si>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</si>
  <si>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</si>
  <si>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</si>
  <si>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</si>
  <si>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</si>
  <si>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</si>
  <si>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</si>
  <si>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</si>
  <si>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</si>
  <si>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</si>
  <si>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</si>
  <si>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</si>
  <si>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</si>
  <si>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</si>
  <si>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</si>
  <si>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</si>
  <si>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</si>
  <si>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</si>
  <si>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</si>
  <si>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</si>
  <si>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</si>
  <si>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</si>
  <si>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</si>
  <si>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</si>
  <si>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</si>
  <si>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</si>
  <si>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</si>
  <si>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</si>
  <si>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</si>
  <si>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</si>
  <si>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</si>
  <si>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</si>
  <si>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</si>
  <si>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</si>
  <si>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</si>
  <si>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</si>
  <si>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</si>
  <si>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</si>
  <si>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</si>
  <si>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</si>
  <si>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</si>
  <si>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</si>
  <si>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</si>
  <si>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</si>
  <si>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</si>
  <si>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</si>
  <si>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</si>
  <si>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</si>
  <si>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</si>
  <si>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</si>
  <si>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</si>
  <si>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</si>
  <si>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</si>
  <si>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</si>
  <si>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</si>
  <si>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</si>
  <si>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</si>
  <si>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</si>
  <si>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</si>
  <si>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</si>
  <si>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</si>
  <si>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</si>
  <si>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</si>
  <si>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</si>
  <si>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</si>
  <si>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</si>
  <si>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</si>
  <si>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</si>
  <si>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</si>
  <si>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</si>
  <si>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</si>
  <si>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</si>
  <si>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</si>
  <si>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</si>
  <si>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</si>
  <si>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</si>
  <si>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</si>
  <si>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</si>
  <si>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</si>
  <si>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</si>
  <si>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</si>
  <si>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</si>
  <si>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</si>
  <si>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</si>
  <si>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</si>
  <si>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</si>
  <si>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</si>
  <si>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</si>
  <si>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</si>
  <si>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</si>
  <si>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</si>
  <si>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</si>
  <si>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</si>
  <si>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</si>
  <si>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</si>
  <si>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</si>
  <si>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</si>
  <si>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</si>
  <si>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</si>
  <si>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</si>
  <si>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</si>
  <si>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</si>
  <si>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</si>
  <si>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</si>
  <si>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</si>
  <si>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</si>
  <si>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</si>
  <si>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</si>
  <si>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</si>
  <si>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</si>
  <si>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</si>
  <si>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</si>
  <si>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</si>
  <si>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</si>
  <si>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</si>
  <si>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</si>
  <si>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</si>
  <si>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</si>
  <si>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</si>
  <si>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</si>
  <si>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</si>
  <si>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</si>
  <si>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</si>
  <si>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</si>
  <si>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</si>
  <si>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</si>
  <si>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</si>
  <si>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</si>
  <si>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</si>
  <si>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</si>
  <si>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</si>
  <si>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</si>
  <si>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</si>
  <si>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</si>
  <si>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</si>
  <si>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</si>
  <si>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</si>
  <si>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</si>
  <si>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</si>
  <si>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</si>
  <si>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</si>
  <si>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</si>
  <si>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</si>
  <si>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</si>
  <si>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</si>
  <si>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</si>
  <si>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</si>
  <si>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</si>
  <si>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</si>
  <si>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</si>
  <si>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</si>
  <si>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</si>
  <si>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</si>
  <si>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</si>
  <si>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</si>
  <si>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</si>
  <si>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</si>
  <si>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</si>
  <si>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</si>
  <si>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</si>
  <si>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</si>
  <si>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</si>
  <si>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</si>
  <si>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</si>
  <si>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</si>
  <si>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</si>
  <si>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</si>
  <si>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</si>
  <si>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</si>
  <si>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</si>
  <si>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</si>
  <si>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</si>
  <si>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</si>
  <si>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</si>
  <si>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</si>
  <si>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</si>
  <si>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</si>
  <si>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</si>
  <si>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</si>
  <si>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</si>
  <si>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</si>
  <si>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</si>
  <si>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</si>
  <si>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</si>
  <si>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</si>
  <si>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</si>
  <si>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</si>
  <si>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</si>
  <si>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</si>
  <si>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</si>
  <si>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</si>
  <si>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</si>
  <si>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</si>
  <si>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</si>
  <si>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</si>
  <si>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</si>
  <si>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</si>
  <si>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</si>
  <si>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</si>
  <si>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</si>
  <si>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</si>
  <si>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</si>
  <si>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</si>
  <si>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</si>
  <si>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</si>
  <si>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</si>
  <si>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</si>
  <si>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</si>
  <si>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</si>
  <si>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</si>
  <si>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</si>
  <si>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</si>
  <si>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</si>
  <si>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</si>
  <si>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</si>
  <si>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</si>
  <si>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</si>
  <si>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</si>
  <si>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</si>
  <si>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</si>
  <si>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</si>
  <si>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</si>
  <si>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</si>
  <si>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</si>
  <si>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</si>
  <si>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</si>
  <si>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</si>
  <si>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</si>
  <si>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</si>
  <si>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</si>
  <si>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</si>
  <si>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</si>
  <si>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</si>
  <si>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</si>
  <si>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</si>
  <si>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</si>
  <si>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</si>
  <si>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</si>
  <si>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</si>
  <si>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</si>
  <si>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</si>
  <si>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</si>
  <si>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</si>
  <si>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</si>
  <si>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</si>
  <si>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</si>
  <si>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</si>
  <si>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</si>
  <si>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</si>
  <si>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</si>
  <si>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</si>
  <si>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</si>
  <si>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</si>
  <si>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</si>
  <si>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</si>
  <si>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</si>
  <si>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</si>
  <si>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</si>
  <si>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</si>
  <si>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</si>
  <si>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</si>
  <si>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</si>
  <si>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</si>
  <si>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</si>
  <si>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</si>
  <si>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</si>
  <si>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</si>
  <si>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</si>
  <si>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</si>
  <si>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</si>
  <si>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</si>
  <si>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</si>
  <si>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</si>
  <si>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</si>
  <si>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</si>
  <si>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</si>
  <si>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</si>
  <si>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</si>
  <si>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</si>
  <si>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</si>
  <si>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</si>
  <si>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</si>
  <si>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</si>
  <si>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</si>
  <si>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</si>
  <si>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</si>
  <si>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</si>
  <si>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</si>
  <si>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</si>
  <si>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</si>
  <si>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</si>
  <si>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</si>
  <si>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</si>
  <si>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</si>
  <si>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</si>
  <si>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</si>
  <si>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</si>
  <si>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</si>
  <si>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</si>
  <si>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</si>
  <si>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</si>
  <si>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</si>
  <si>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</si>
  <si>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</si>
  <si>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</si>
  <si>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</si>
  <si>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</si>
  <si>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</si>
  <si>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</si>
  <si>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</si>
  <si>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</si>
  <si>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</si>
  <si>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</si>
  <si>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</si>
  <si>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</si>
  <si>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</si>
  <si>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</si>
  <si>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</si>
  <si>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</si>
  <si>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</si>
  <si>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</si>
  <si>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</si>
  <si>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</si>
  <si>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</si>
  <si>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</si>
  <si>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</si>
  <si>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</si>
  <si>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</si>
  <si>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</si>
  <si>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</si>
  <si>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</si>
  <si>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</si>
  <si>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</si>
  <si>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</si>
  <si>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</si>
  <si>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</si>
  <si>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</si>
  <si>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</si>
  <si>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</si>
  <si>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</si>
  <si>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</si>
  <si>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</si>
  <si>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</si>
  <si>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</si>
  <si>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</si>
  <si>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</si>
  <si>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</si>
  <si>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</si>
  <si>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</si>
  <si>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</si>
  <si>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</si>
  <si>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</si>
  <si>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</si>
  <si>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</si>
  <si>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</si>
  <si>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</si>
  <si>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</si>
  <si>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</si>
  <si>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</si>
  <si>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</si>
  <si>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</si>
  <si>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</si>
  <si>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</si>
  <si>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</si>
  <si>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</si>
  <si>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</si>
  <si>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</si>
  <si>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</si>
  <si>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</si>
  <si>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</si>
  <si>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</si>
  <si>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</si>
  <si>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</si>
  <si>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</si>
  <si>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</si>
  <si>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</si>
  <si>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</si>
  <si>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</si>
  <si>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</si>
  <si>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</si>
  <si>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</si>
  <si>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</si>
  <si>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</si>
  <si>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</si>
  <si>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</si>
  <si>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</si>
  <si>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</si>
  <si>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</si>
  <si>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</si>
  <si>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</si>
  <si>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</si>
  <si>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</si>
  <si>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</si>
  <si>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</si>
  <si>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</si>
  <si>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</si>
  <si>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</si>
  <si>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</si>
  <si>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</si>
  <si>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</si>
  <si>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</si>
  <si>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</si>
  <si>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</si>
  <si>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</si>
  <si>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</si>
  <si>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</si>
  <si>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</si>
  <si>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</si>
  <si>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</si>
  <si>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</si>
  <si>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</si>
  <si>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</si>
  <si>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</si>
  <si>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</si>
  <si>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</si>
  <si>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</si>
  <si>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</si>
  <si>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</si>
  <si>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</si>
  <si>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</si>
  <si>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</si>
  <si>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</si>
  <si>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</si>
  <si>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</si>
  <si>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</si>
  <si>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</si>
  <si>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</si>
  <si>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</si>
  <si>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</si>
  <si>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</si>
  <si>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</si>
  <si>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</si>
  <si>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</si>
  <si>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</si>
  <si>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</si>
  <si>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</si>
  <si>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</si>
  <si>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</si>
  <si>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</si>
  <si>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</si>
  <si>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</si>
  <si>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</si>
  <si>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</si>
  <si>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</si>
  <si>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</si>
  <si>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</si>
  <si>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</si>
  <si>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</si>
  <si>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</si>
  <si>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</si>
  <si>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</si>
  <si>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</si>
  <si>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</si>
  <si>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</si>
  <si>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</si>
  <si>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</si>
  <si>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</si>
  <si>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</si>
  <si>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</si>
  <si>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</si>
  <si>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</si>
  <si>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</si>
  <si>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</si>
  <si>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</si>
  <si>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</si>
  <si>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</si>
  <si>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</si>
  <si>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</si>
  <si>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</si>
  <si>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</si>
  <si>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</si>
  <si>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</si>
  <si>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</si>
  <si>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</si>
  <si>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</si>
  <si>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</si>
  <si>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</si>
  <si>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</si>
  <si>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</si>
  <si>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</si>
  <si>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</si>
  <si>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</si>
  <si>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</si>
  <si>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</si>
  <si>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</si>
  <si>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</si>
  <si>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</si>
  <si>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</si>
  <si>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</si>
  <si>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</si>
  <si>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</si>
  <si>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</si>
  <si>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</si>
  <si>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</si>
  <si>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</si>
  <si>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</si>
  <si>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</si>
  <si>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</si>
  <si>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</si>
  <si>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</si>
  <si>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</si>
  <si>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</si>
  <si>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</si>
  <si>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</si>
  <si>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</si>
  <si>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</si>
  <si>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</si>
  <si>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</si>
  <si>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</si>
  <si>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</si>
  <si>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</si>
  <si>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</si>
  <si>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</si>
  <si>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</si>
  <si>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</si>
  <si>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</si>
  <si>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</si>
  <si>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</si>
  <si>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</si>
  <si>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</si>
  <si>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</si>
  <si>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</si>
  <si>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</si>
  <si>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</si>
  <si>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</si>
  <si>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</si>
  <si>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</si>
  <si>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</si>
  <si>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</si>
  <si>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</si>
  <si>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</si>
  <si>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</si>
  <si>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</si>
  <si>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</si>
  <si>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</si>
  <si>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</si>
  <si>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</si>
  <si>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</si>
  <si>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</si>
  <si>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</si>
  <si>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</si>
  <si>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</si>
  <si>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</si>
  <si>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</si>
  <si>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</si>
  <si>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</si>
  <si>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</si>
  <si>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</si>
  <si>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</si>
  <si>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</si>
  <si>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</si>
  <si>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</si>
  <si>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</si>
  <si>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</si>
  <si>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</si>
  <si>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</si>
  <si>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</si>
  <si>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</si>
  <si>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</si>
  <si>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</si>
  <si>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</si>
  <si>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</si>
  <si>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</si>
  <si>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</si>
  <si>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</si>
  <si>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</si>
  <si>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</si>
  <si>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</si>
  <si>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</si>
  <si>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</si>
  <si>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</si>
  <si>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</si>
  <si>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</si>
  <si>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</si>
  <si>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</si>
  <si>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</si>
  <si>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</si>
  <si>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</si>
  <si>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</si>
  <si>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</si>
  <si>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</si>
  <si>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</si>
  <si>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</si>
  <si>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</si>
  <si>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</si>
  <si>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</si>
  <si>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</si>
  <si>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</si>
  <si>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</si>
  <si>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</si>
  <si>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</si>
  <si>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</si>
  <si>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</si>
  <si>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</si>
  <si>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</si>
  <si>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</si>
  <si>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</si>
  <si>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</si>
  <si>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</si>
  <si>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</si>
  <si>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</si>
  <si>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</si>
  <si>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</si>
  <si>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</si>
  <si>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</si>
  <si>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</si>
  <si>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</si>
  <si>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</si>
  <si>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</si>
  <si>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</si>
  <si>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</si>
  <si>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</si>
  <si>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</si>
  <si>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</si>
  <si>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</si>
  <si>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</si>
  <si>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</si>
  <si>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</si>
  <si>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</si>
  <si>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</si>
  <si>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</si>
  <si>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</si>
  <si>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</si>
  <si>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</si>
  <si>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</si>
  <si>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</si>
  <si>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</si>
  <si>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</si>
  <si>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</si>
  <si>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</si>
  <si>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</si>
  <si>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</si>
  <si>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</si>
  <si>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</si>
  <si>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</si>
  <si>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</si>
  <si>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</si>
  <si>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</si>
  <si>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</si>
  <si>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</si>
  <si>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</si>
  <si>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</si>
  <si>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</si>
  <si>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</si>
  <si>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</si>
  <si>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</si>
  <si>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</si>
  <si>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</si>
  <si>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</si>
  <si>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</si>
  <si>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</si>
  <si>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</si>
  <si>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</si>
  <si>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</si>
  <si>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</si>
  <si>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</si>
  <si>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</si>
  <si>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</si>
  <si>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</si>
  <si>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</si>
  <si>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</si>
  <si>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</si>
  <si>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</si>
  <si>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</si>
  <si>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</si>
  <si>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</si>
  <si>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</si>
  <si>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</si>
  <si>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</si>
  <si>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</si>
  <si>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</si>
  <si>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</si>
  <si>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</si>
  <si>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</si>
  <si>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</si>
  <si>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</si>
  <si>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</si>
  <si>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</si>
  <si>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</si>
  <si>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</si>
  <si>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</si>
  <si>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</si>
  <si>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</si>
  <si>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</si>
  <si>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</si>
  <si>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</si>
  <si>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</si>
  <si>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</si>
  <si>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</si>
  <si>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</si>
  <si>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</si>
  <si>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</si>
  <si>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</si>
  <si>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</si>
  <si>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</si>
  <si>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</si>
  <si>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</si>
  <si>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</si>
  <si>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</si>
  <si>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</si>
  <si>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</si>
  <si>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</si>
  <si>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</si>
  <si>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</si>
  <si>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</si>
  <si>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</si>
  <si>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</si>
  <si>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</si>
  <si>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</si>
  <si>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</si>
  <si>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</si>
  <si>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</si>
  <si>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</si>
  <si>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</si>
  <si>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</si>
  <si>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</si>
  <si>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</si>
  <si>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</si>
  <si>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</si>
  <si>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</si>
  <si>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</si>
  <si>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</si>
  <si>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</si>
  <si>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</si>
  <si>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</si>
  <si>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</si>
  <si>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</si>
  <si>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</si>
  <si>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</si>
  <si>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</si>
  <si>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</si>
  <si>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</si>
  <si>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</si>
  <si>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</si>
  <si>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</si>
  <si>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</si>
  <si>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</si>
  <si>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</si>
  <si>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</si>
  <si>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</si>
  <si>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</si>
  <si>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</si>
  <si>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</si>
  <si>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</si>
  <si>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</si>
  <si>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</si>
  <si>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</si>
  <si>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</si>
  <si>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</si>
  <si>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</si>
  <si>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</si>
  <si>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</si>
  <si>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</si>
  <si>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</si>
  <si>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</si>
  <si>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</si>
  <si>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</si>
  <si>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</si>
  <si>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</si>
  <si>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</si>
  <si>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</si>
  <si>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</si>
  <si>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</si>
  <si>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</si>
  <si>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</si>
  <si>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</si>
  <si>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</si>
  <si>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</si>
  <si>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</si>
  <si>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</si>
  <si>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</si>
  <si>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</si>
  <si>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</si>
  <si>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</si>
  <si>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</si>
  <si>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</si>
  <si>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</si>
  <si>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</si>
  <si>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</si>
  <si>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</si>
  <si>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</si>
  <si>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</si>
  <si>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</si>
  <si>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</si>
  <si>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</si>
  <si>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</si>
  <si>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</si>
  <si>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</si>
  <si>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</si>
  <si>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</si>
  <si>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</si>
  <si>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</si>
  <si>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</si>
  <si>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</si>
  <si>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</si>
  <si>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</si>
  <si>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</si>
  <si>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</si>
  <si>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</si>
  <si>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</si>
  <si>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</si>
  <si>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</si>
  <si>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</si>
  <si>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</si>
  <si>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</si>
  <si>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</si>
  <si>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</si>
  <si>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</si>
  <si>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</si>
  <si>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</si>
  <si>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</si>
  <si>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</si>
  <si>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</si>
  <si>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</si>
  <si>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</si>
  <si>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</si>
  <si>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</si>
  <si>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</si>
  <si>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</si>
  <si>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</si>
  <si>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</si>
  <si>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</si>
  <si>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</si>
  <si>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</si>
  <si>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</si>
  <si>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</si>
  <si>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</si>
  <si>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</si>
  <si>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</si>
  <si>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</si>
  <si>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</si>
  <si>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</si>
  <si>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</si>
  <si>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</si>
  <si>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</si>
  <si>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</si>
  <si>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</si>
  <si>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</si>
  <si>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</si>
  <si>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</si>
  <si>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</si>
  <si>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</si>
  <si>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</si>
  <si>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</si>
  <si>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</si>
  <si>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</si>
  <si>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</si>
  <si>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</si>
  <si>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</si>
  <si>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</si>
  <si>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</si>
  <si>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</si>
  <si>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</si>
  <si>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</si>
  <si>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</si>
  <si>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</si>
  <si>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</si>
  <si>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</si>
  <si>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</si>
  <si>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</si>
  <si>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</si>
  <si>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</si>
  <si>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</si>
  <si>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</si>
  <si>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</si>
  <si>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</si>
  <si>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</si>
  <si>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</si>
  <si>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</si>
  <si>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</si>
  <si>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</si>
  <si>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</si>
  <si>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</si>
  <si>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</si>
  <si>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</si>
  <si>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</si>
  <si>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</si>
  <si>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</si>
  <si>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</si>
  <si>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</si>
  <si>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</si>
  <si>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</si>
  <si>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</si>
  <si>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</si>
  <si>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</si>
  <si>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</si>
  <si>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</si>
  <si>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</si>
  <si>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</si>
  <si>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</si>
  <si>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</si>
  <si>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</si>
  <si>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</si>
  <si>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</si>
  <si>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</si>
  <si>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</si>
  <si>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</si>
  <si>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</si>
  <si>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</si>
  <si>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</si>
  <si>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</si>
  <si>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</si>
  <si>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</si>
  <si>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</si>
  <si>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</si>
  <si>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</si>
  <si>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</si>
  <si>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</si>
  <si>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</si>
  <si>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</si>
  <si>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</si>
  <si>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</si>
  <si>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</si>
  <si>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</si>
  <si>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</si>
  <si>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</si>
  <si>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</si>
  <si>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</si>
  <si>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</si>
  <si>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</si>
  <si>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</si>
  <si>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</si>
  <si>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</si>
  <si>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</si>
  <si>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</si>
  <si>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</si>
  <si>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</si>
  <si>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</si>
  <si>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</si>
  <si>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</si>
  <si>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</si>
  <si>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</si>
  <si>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</si>
  <si>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</si>
  <si>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</si>
  <si>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</si>
  <si>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</si>
  <si>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</si>
  <si>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</si>
  <si>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</si>
  <si>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</si>
  <si>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</si>
  <si>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</si>
  <si>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</si>
  <si>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</si>
  <si>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</si>
  <si>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</si>
  <si>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</si>
  <si>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</si>
  <si>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</si>
  <si>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</si>
  <si>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</si>
  <si>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</si>
  <si>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</si>
  <si>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</si>
  <si>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</si>
  <si>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</si>
  <si>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</si>
  <si>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</si>
  <si>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</si>
  <si>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</si>
  <si>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</si>
  <si>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</si>
  <si>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</si>
  <si>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</si>
  <si>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</si>
  <si>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</si>
  <si>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</si>
  <si>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</si>
  <si>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</si>
  <si>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</si>
  <si>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</si>
  <si>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</si>
  <si>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</si>
  <si>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</si>
  <si>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</si>
  <si>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</si>
  <si>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</si>
  <si>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</si>
  <si>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</si>
  <si>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</si>
  <si>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</si>
  <si>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</si>
  <si>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</si>
  <si>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</si>
  <si>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</si>
  <si>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</si>
  <si>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</si>
  <si>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</si>
  <si>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</si>
  <si>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</si>
  <si>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</si>
  <si>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</si>
  <si>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</si>
  <si>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</si>
  <si>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</si>
  <si>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</si>
  <si>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</si>
  <si>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</si>
  <si>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</si>
  <si>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</si>
  <si>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</si>
  <si>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</si>
  <si>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</si>
  <si>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</si>
  <si>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</si>
  <si>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</si>
  <si>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</si>
  <si>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</si>
  <si>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</si>
  <si>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</si>
  <si>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</si>
  <si>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</si>
  <si>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</si>
  <si>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</si>
  <si>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</si>
  <si>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</si>
  <si>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</si>
  <si>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</si>
  <si>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</si>
  <si>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</si>
  <si>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</si>
  <si>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</si>
  <si>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</si>
  <si>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</si>
  <si>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</si>
  <si>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</si>
  <si>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</si>
  <si>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</si>
  <si>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</si>
  <si>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</si>
  <si>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</si>
  <si>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</si>
  <si>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</si>
  <si>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</si>
  <si>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</si>
  <si>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</si>
  <si>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</si>
  <si>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</si>
  <si>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</si>
  <si>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</si>
  <si>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</si>
  <si>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</si>
  <si>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</si>
  <si>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</si>
  <si>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</si>
  <si>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</si>
  <si>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</si>
  <si>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</si>
  <si>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</si>
  <si>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</si>
  <si>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</si>
  <si>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</si>
  <si>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</si>
  <si>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</si>
  <si>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</si>
  <si>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</si>
  <si>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</si>
  <si>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</si>
  <si>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</si>
  <si>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</si>
  <si>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</si>
  <si>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</si>
  <si>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</si>
  <si>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</si>
  <si>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</si>
  <si>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</si>
  <si>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</si>
  <si>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</si>
  <si>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</si>
  <si>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</si>
  <si>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</si>
  <si>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</si>
  <si>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</si>
  <si>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</si>
  <si>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</si>
  <si>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</si>
  <si>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</si>
  <si>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</si>
  <si>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</si>
  <si>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</si>
  <si>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</si>
  <si>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</si>
  <si>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</si>
  <si>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</si>
  <si>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</si>
  <si>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</si>
  <si>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</si>
  <si>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</si>
  <si>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</si>
  <si>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</si>
  <si>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</si>
  <si>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</si>
  <si>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</si>
  <si>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</si>
  <si>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</si>
  <si>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</si>
  <si>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</si>
  <si>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</si>
  <si>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</si>
  <si>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</si>
  <si>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</si>
  <si>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</si>
  <si>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</si>
  <si>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</si>
  <si>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</si>
  <si>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</si>
  <si>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</si>
  <si>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</si>
  <si>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</si>
  <si>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</si>
  <si>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</si>
  <si>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</si>
  <si>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</si>
  <si>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</si>
  <si>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</si>
  <si>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</si>
  <si>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</si>
  <si>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</si>
  <si>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</si>
  <si>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</si>
  <si>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</si>
  <si>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</si>
  <si>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</si>
  <si>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</si>
  <si>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</si>
  <si>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</si>
  <si>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</si>
  <si>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</si>
  <si>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</si>
  <si>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</si>
  <si>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</si>
  <si>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</si>
  <si>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</si>
  <si>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</si>
  <si>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</si>
  <si>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</si>
  <si>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</si>
  <si>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</si>
  <si>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</si>
  <si>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</si>
  <si>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</si>
  <si>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</si>
  <si>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</si>
  <si>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</si>
  <si>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</si>
  <si>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</si>
  <si>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</si>
  <si>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</si>
  <si>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</si>
  <si>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</si>
  <si>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</si>
  <si>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</si>
  <si>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</si>
  <si>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</si>
  <si>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</si>
  <si>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</si>
  <si>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</si>
  <si>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</si>
  <si>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</si>
  <si>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</si>
  <si>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</si>
  <si>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</si>
  <si>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</si>
  <si>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</si>
  <si>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</si>
  <si>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</si>
  <si>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</si>
  <si>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</si>
  <si>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</si>
  <si>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</si>
  <si>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</si>
  <si>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</si>
  <si>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</si>
  <si>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</si>
  <si>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</si>
  <si>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</si>
  <si>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</si>
  <si>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</si>
  <si>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</si>
  <si>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</si>
  <si>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</si>
  <si>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</si>
  <si>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</si>
  <si>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</si>
  <si>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</si>
  <si>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</si>
  <si>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</si>
  <si>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</si>
  <si>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</si>
  <si>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</si>
  <si>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</si>
  <si>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</si>
  <si>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</si>
  <si>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</si>
  <si>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</si>
  <si>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</si>
  <si>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</si>
  <si>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</si>
  <si>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</si>
  <si>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</si>
  <si>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</si>
  <si>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</si>
  <si>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</si>
  <si>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</si>
  <si>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</si>
  <si>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</si>
  <si>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</si>
  <si>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</si>
  <si>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</si>
  <si>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</si>
  <si>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</si>
  <si>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</si>
  <si>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</si>
  <si>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</si>
  <si>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</si>
  <si>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</si>
  <si>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</si>
  <si>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</si>
  <si>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</si>
  <si>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</si>
  <si>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</si>
  <si>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</si>
  <si>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</si>
  <si>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</si>
  <si>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</si>
  <si>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</si>
  <si>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</si>
  <si>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</si>
  <si>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</si>
  <si>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</si>
  <si>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</si>
  <si>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</si>
  <si>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</si>
  <si>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</si>
  <si>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</si>
  <si>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</si>
  <si>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</si>
  <si>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</si>
  <si>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</si>
  <si>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</si>
  <si>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</si>
  <si>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</si>
  <si>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</si>
  <si>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</si>
  <si>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</si>
  <si>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</si>
  <si>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</si>
  <si>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</si>
  <si>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</si>
  <si>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</si>
  <si>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</si>
  <si>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</si>
  <si>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</si>
  <si>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</si>
  <si>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</si>
  <si>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</si>
  <si>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</si>
  <si>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</si>
  <si>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</si>
  <si>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</si>
  <si>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</si>
  <si>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</si>
  <si>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</si>
  <si>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</si>
  <si>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</si>
  <si>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</si>
  <si>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</si>
  <si>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</si>
  <si>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</si>
  <si>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</si>
  <si>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</si>
  <si>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</si>
  <si>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</si>
  <si>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</si>
  <si>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</si>
  <si>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</si>
  <si>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</si>
  <si>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</si>
  <si>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</si>
  <si>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</si>
  <si>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</si>
  <si>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</si>
  <si>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</si>
  <si>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</si>
  <si>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</si>
  <si>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</si>
  <si>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</si>
  <si>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</si>
  <si>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</si>
  <si>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</si>
  <si>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</si>
  <si>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</si>
  <si>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</si>
  <si>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</si>
  <si>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</si>
  <si>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</si>
  <si>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</si>
  <si>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</si>
  <si>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</si>
  <si>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</si>
  <si>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</si>
  <si>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</si>
  <si>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</si>
  <si>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</si>
  <si>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</si>
  <si>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</si>
  <si>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</si>
  <si>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</si>
  <si>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</si>
  <si>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</si>
  <si>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</si>
  <si>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</si>
  <si>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</si>
  <si>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</si>
  <si>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</si>
  <si>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</si>
  <si>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</si>
  <si>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</si>
  <si>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</si>
  <si>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</si>
  <si>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</si>
  <si>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</si>
  <si>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</si>
  <si>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</si>
  <si>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</si>
  <si>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</si>
  <si>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</si>
  <si>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</si>
  <si>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</si>
  <si>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</si>
  <si>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</si>
  <si>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</si>
  <si>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</si>
  <si>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</si>
  <si>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</si>
  <si>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</si>
  <si>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</si>
  <si>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</si>
  <si>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</si>
  <si>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</si>
  <si>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</si>
  <si>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</si>
  <si>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</si>
  <si>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</si>
  <si>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</si>
  <si>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</si>
  <si>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</si>
  <si>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</si>
  <si>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</si>
  <si>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</si>
  <si>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</si>
  <si>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</si>
  <si>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</si>
  <si>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</si>
  <si>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</si>
  <si>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</si>
  <si>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</si>
  <si>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</si>
  <si>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</si>
  <si>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</si>
  <si>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</si>
  <si>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</si>
  <si>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</si>
  <si>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</si>
  <si>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</si>
  <si>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</si>
  <si>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</si>
  <si>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</si>
  <si>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</si>
  <si>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</si>
  <si>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</si>
  <si>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</si>
  <si>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</si>
  <si>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</si>
  <si>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</si>
  <si>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</si>
  <si>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</si>
  <si>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</si>
  <si>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</si>
  <si>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</si>
  <si>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</si>
  <si>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</si>
  <si>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</si>
  <si>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</si>
  <si>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</si>
  <si>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</si>
  <si>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</si>
  <si>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</si>
  <si>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</si>
  <si>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</si>
  <si>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</si>
  <si>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</si>
  <si>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</si>
  <si>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</si>
  <si>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</si>
  <si>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</si>
  <si>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</si>
  <si>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</si>
  <si>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</si>
  <si>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</si>
  <si>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</si>
  <si>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</si>
  <si>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</si>
  <si>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</si>
  <si>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</si>
  <si>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</si>
  <si>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</si>
  <si>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</si>
  <si>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</si>
  <si>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</si>
  <si>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</si>
  <si>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</si>
  <si>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</si>
  <si>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</si>
  <si>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</si>
  <si>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</si>
  <si>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</si>
  <si>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</si>
  <si>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</si>
  <si>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</si>
  <si>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</si>
  <si>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</si>
  <si>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</si>
  <si>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</si>
  <si>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</si>
  <si>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</si>
  <si>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</si>
  <si>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</si>
  <si>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</si>
  <si>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</si>
  <si>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</si>
  <si>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</si>
  <si>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</si>
  <si>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</si>
  <si>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</si>
  <si>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</si>
  <si>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</si>
  <si>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</si>
  <si>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</si>
  <si>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</si>
  <si>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</si>
  <si>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</si>
  <si>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</si>
  <si>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</si>
  <si>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</si>
  <si>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</si>
  <si>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</si>
  <si>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</si>
  <si>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</si>
  <si>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</si>
  <si>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</si>
  <si>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</si>
  <si>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</si>
  <si>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</si>
  <si>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</si>
  <si>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</si>
  <si>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</si>
  <si>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</si>
  <si>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</si>
  <si>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</si>
  <si>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</si>
  <si>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</si>
  <si>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</si>
  <si>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</si>
  <si>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</si>
  <si>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</si>
  <si>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</si>
  <si>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</si>
  <si>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</si>
  <si>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</si>
  <si>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</si>
  <si>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</si>
  <si>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</si>
  <si>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</si>
  <si>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</si>
  <si>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</si>
  <si>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</si>
  <si>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</si>
  <si>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</si>
  <si>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</si>
  <si>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</si>
  <si>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</si>
  <si>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</si>
  <si>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</si>
  <si>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</si>
  <si>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</si>
  <si>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</si>
  <si>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</si>
  <si>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</si>
  <si>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</si>
  <si>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</si>
  <si>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</si>
  <si>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</si>
  <si>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</si>
  <si>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</si>
  <si>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</si>
  <si>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</si>
  <si>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</si>
  <si>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</si>
  <si>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</si>
  <si>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</si>
  <si>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</si>
  <si>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</si>
  <si>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</si>
  <si>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</si>
  <si>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</si>
  <si>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</si>
  <si>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</si>
  <si>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</si>
  <si>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</si>
  <si>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</si>
  <si>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</si>
  <si>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</si>
  <si>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</si>
  <si>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</si>
  <si>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</si>
  <si>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</si>
  <si>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</si>
  <si>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</si>
  <si>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</si>
  <si>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</si>
  <si>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</si>
  <si>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</si>
  <si>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</si>
  <si>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</si>
  <si>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</si>
  <si>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</si>
  <si>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</si>
  <si>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</si>
  <si>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</si>
  <si>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</si>
  <si>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</si>
  <si>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</si>
  <si>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</si>
  <si>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</si>
  <si>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</si>
  <si>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</si>
  <si>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</si>
  <si>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</si>
  <si>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</si>
  <si>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</si>
  <si>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</si>
  <si>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</si>
  <si>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</si>
  <si>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</si>
  <si>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</si>
  <si>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</si>
  <si>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</si>
  <si>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</si>
  <si>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</si>
  <si>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</si>
  <si>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</si>
  <si>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</si>
  <si>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</si>
  <si>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</si>
  <si>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</si>
  <si>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</si>
  <si>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</si>
  <si>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</si>
  <si>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</si>
  <si>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</si>
  <si>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</si>
  <si>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</si>
  <si>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</si>
  <si>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</si>
  <si>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</si>
  <si>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</si>
  <si>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</si>
  <si>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</si>
  <si>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</si>
  <si>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</si>
  <si>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</si>
  <si>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</si>
  <si>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</si>
  <si>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</si>
  <si>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</si>
  <si>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</si>
  <si>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</si>
  <si>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</si>
  <si>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</si>
  <si>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</si>
  <si>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</si>
  <si>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</si>
  <si>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</si>
  <si>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</si>
  <si>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</si>
  <si>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</si>
  <si>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</si>
  <si>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</si>
  <si>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</si>
  <si>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</si>
  <si>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</si>
  <si>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</si>
  <si>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</si>
  <si>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</si>
  <si>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</si>
  <si>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</si>
  <si>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</si>
  <si>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</si>
  <si>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</si>
  <si>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</si>
  <si>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</si>
  <si>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</si>
  <si>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</si>
  <si>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</si>
  <si>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</si>
  <si>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</si>
  <si>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</si>
  <si>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</si>
  <si>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</si>
  <si>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</si>
  <si>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</si>
  <si>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</si>
  <si>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</si>
  <si>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</si>
  <si>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</si>
  <si>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</si>
  <si>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</si>
  <si>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</si>
  <si>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</si>
  <si>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</si>
  <si>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</si>
  <si>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</si>
  <si>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</si>
  <si>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</si>
  <si>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</si>
  <si>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</si>
  <si>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</si>
  <si>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</si>
  <si>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</si>
  <si>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</si>
  <si>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</si>
  <si>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</si>
  <si>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</si>
  <si>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</si>
  <si>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</si>
  <si>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</si>
  <si>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</si>
  <si>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</si>
  <si>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</si>
  <si>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</si>
  <si>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</si>
  <si>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</si>
  <si>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</si>
  <si>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</si>
  <si>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</si>
  <si>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</si>
  <si>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</si>
  <si>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</si>
  <si>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</si>
  <si>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</si>
  <si>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</si>
  <si>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</si>
  <si>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</si>
  <si>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</si>
  <si>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</si>
  <si>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</si>
  <si>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</si>
  <si>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</si>
  <si>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</si>
  <si>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</si>
  <si>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</si>
  <si>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</si>
  <si>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</si>
  <si>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</si>
  <si>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</si>
  <si>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</si>
  <si>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</si>
  <si>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</si>
  <si>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</si>
  <si>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</si>
  <si>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</si>
  <si>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</si>
  <si>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</si>
  <si>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</si>
  <si>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</si>
  <si>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</si>
  <si>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</si>
  <si>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</si>
  <si>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</si>
  <si>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</si>
  <si>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</si>
  <si>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</si>
  <si>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</si>
  <si>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</si>
  <si>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</si>
  <si>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</si>
  <si>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</si>
  <si>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</si>
  <si>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</si>
  <si>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</si>
  <si>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</si>
  <si>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</si>
  <si>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</si>
  <si>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</si>
  <si>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</si>
  <si>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</si>
  <si>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</si>
  <si>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</si>
  <si>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</si>
  <si>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</si>
  <si>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</si>
  <si>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</si>
  <si>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</si>
  <si>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</si>
  <si>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</si>
  <si>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</si>
  <si>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</si>
  <si>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</si>
  <si>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</si>
  <si>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</si>
  <si>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</si>
  <si>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</si>
  <si>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</si>
  <si>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</si>
  <si>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</si>
  <si>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</si>
  <si>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</si>
  <si>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</si>
  <si>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</si>
  <si>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</si>
  <si>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</si>
  <si>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</si>
  <si>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</si>
  <si>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</si>
  <si>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</si>
  <si>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</si>
  <si>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</si>
  <si>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</si>
  <si>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</si>
  <si>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</si>
  <si>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</si>
  <si>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</si>
  <si>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</si>
  <si>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</si>
  <si>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</si>
  <si>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</si>
  <si>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</si>
  <si>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</si>
  <si>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</si>
  <si>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</si>
  <si>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</si>
  <si>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</si>
  <si>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</si>
  <si>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</si>
  <si>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</si>
  <si>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</si>
  <si>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</si>
  <si>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</si>
  <si>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</si>
  <si>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</si>
  <si>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</si>
  <si>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</si>
  <si>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</si>
  <si>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</si>
  <si>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</si>
  <si>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</si>
  <si>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</si>
  <si>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</si>
  <si>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</si>
  <si>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</si>
  <si>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</si>
  <si>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</si>
  <si>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</si>
  <si>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</si>
  <si>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</si>
  <si>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</si>
  <si>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</si>
  <si>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</si>
  <si>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</si>
  <si>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</si>
  <si>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</si>
  <si>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</si>
  <si>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</si>
  <si>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</si>
  <si>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</si>
  <si>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</si>
  <si>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</si>
  <si>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</si>
  <si>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</si>
  <si>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</si>
  <si>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</si>
  <si>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</si>
  <si>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</si>
  <si>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</si>
  <si>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</si>
  <si>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</si>
  <si>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</si>
  <si>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</si>
  <si>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</si>
  <si>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</si>
  <si>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</si>
  <si>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</si>
  <si>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</si>
  <si>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</si>
  <si>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</si>
  <si>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</si>
  <si>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</si>
  <si>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</si>
  <si>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</si>
  <si>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</si>
  <si>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</si>
  <si>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</si>
  <si>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</si>
  <si>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</si>
  <si>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</si>
  <si>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</si>
  <si>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</si>
  <si>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</si>
  <si>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</si>
  <si>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</si>
  <si>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</si>
  <si>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</si>
  <si>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</si>
  <si>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</si>
  <si>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</si>
  <si>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</si>
  <si>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</si>
  <si>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</si>
  <si>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</si>
  <si>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</si>
  <si>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</si>
  <si>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</si>
  <si>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</si>
  <si>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</si>
  <si>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</si>
  <si>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</si>
  <si>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</si>
  <si>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</si>
  <si>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</si>
  <si>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</si>
  <si>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</si>
  <si>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</si>
  <si>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</si>
  <si>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</si>
  <si>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</si>
  <si>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</si>
  <si>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</si>
  <si>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</si>
  <si>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</si>
  <si>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</si>
  <si>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</si>
  <si>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</si>
  <si>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</si>
  <si>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</si>
  <si>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</si>
  <si>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</si>
  <si>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</si>
  <si>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</si>
  <si>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</si>
  <si>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</si>
  <si>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</si>
  <si>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</si>
  <si>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</si>
  <si>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</si>
  <si>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</si>
  <si>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</si>
  <si>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</si>
  <si>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</si>
  <si>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</si>
  <si>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</si>
  <si>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</si>
  <si>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</si>
  <si>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</si>
  <si>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</si>
  <si>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</si>
  <si>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</si>
  <si>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</si>
  <si>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</si>
  <si>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</si>
  <si>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</si>
  <si>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</si>
  <si>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</si>
  <si>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</si>
  <si>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</si>
  <si>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</si>
  <si>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</si>
  <si>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</si>
  <si>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</si>
  <si>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</si>
  <si>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</si>
  <si>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</si>
  <si>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</si>
  <si>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</si>
  <si>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</si>
  <si>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</si>
  <si>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</si>
  <si>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</si>
  <si>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</si>
  <si>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</si>
  <si>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</si>
  <si>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</si>
  <si>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</si>
  <si>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</si>
  <si>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</si>
  <si>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</si>
  <si>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</si>
  <si>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</si>
  <si>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</si>
  <si>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</si>
  <si>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</si>
  <si>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</si>
  <si>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</si>
  <si>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</si>
  <si>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</si>
  <si>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</si>
  <si>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</si>
  <si>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</si>
  <si>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</si>
  <si>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</si>
  <si>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</si>
  <si>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</si>
  <si>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</si>
  <si>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</si>
  <si>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</si>
  <si>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</si>
  <si>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</si>
  <si>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</si>
  <si>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</si>
  <si>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</si>
  <si>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</si>
  <si>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</si>
  <si>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</si>
  <si>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</si>
  <si>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</si>
  <si>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</si>
  <si>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</si>
  <si>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</si>
  <si>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</si>
  <si>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</si>
  <si>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</si>
  <si>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</si>
  <si>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</si>
  <si>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</si>
  <si>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</si>
  <si>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</si>
  <si>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</si>
  <si>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</si>
  <si>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</si>
  <si>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</si>
  <si>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</si>
  <si>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</si>
  <si>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</si>
  <si>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</si>
  <si>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</si>
  <si>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</si>
  <si>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</si>
  <si>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</si>
  <si>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</si>
  <si>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</si>
  <si>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</si>
  <si>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</si>
  <si>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</si>
  <si>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</si>
  <si>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</si>
  <si>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</si>
  <si>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</si>
  <si>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</si>
  <si>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</si>
  <si>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</si>
  <si>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</si>
  <si>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</si>
  <si>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</si>
  <si>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</si>
  <si>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</si>
  <si>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</si>
  <si>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</si>
  <si>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</si>
  <si>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</si>
  <si>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</si>
  <si>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</si>
  <si>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</si>
  <si>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</si>
  <si>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</si>
  <si>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</si>
  <si>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</si>
  <si>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</si>
  <si>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</si>
  <si>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</si>
  <si>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</si>
  <si>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</si>
  <si>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</si>
  <si>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</si>
  <si>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</si>
  <si>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</si>
  <si>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</si>
  <si>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</si>
  <si>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</si>
  <si>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</si>
  <si>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</si>
  <si>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</si>
  <si>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</si>
  <si>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</si>
  <si>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</si>
  <si>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</si>
  <si>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</si>
  <si>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</si>
  <si>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</si>
  <si>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</si>
  <si>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</si>
  <si>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</si>
  <si>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</si>
  <si>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</si>
  <si>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</si>
  <si>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</si>
  <si>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</si>
  <si>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</si>
  <si>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</si>
  <si>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</si>
  <si>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</si>
  <si>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</si>
  <si>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</si>
  <si>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</si>
  <si>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</si>
  <si>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</si>
  <si>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</si>
  <si>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</si>
  <si>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</si>
  <si>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</si>
  <si>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</si>
  <si>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</si>
  <si>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</si>
  <si>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</si>
  <si>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</si>
  <si>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</si>
  <si>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</si>
  <si>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</si>
  <si>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</si>
  <si>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</si>
  <si>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</si>
  <si>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</si>
  <si>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</si>
  <si>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</si>
  <si>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</si>
  <si>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</si>
  <si>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</si>
  <si>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</si>
  <si>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</si>
  <si>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</si>
  <si>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</si>
  <si>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</si>
  <si>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</si>
  <si>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</si>
  <si>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</si>
  <si>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</si>
  <si>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</si>
  <si>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</si>
  <si>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</si>
  <si>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</si>
  <si>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</si>
  <si>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</si>
  <si>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</si>
  <si>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</si>
  <si>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</si>
  <si>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</si>
  <si>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</si>
  <si>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</si>
  <si>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</si>
  <si>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</si>
  <si>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</si>
  <si>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</si>
  <si>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</si>
  <si>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</si>
  <si>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</si>
  <si>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</si>
  <si>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</si>
  <si>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</si>
  <si>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</si>
  <si>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</si>
  <si>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</si>
  <si>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</si>
  <si>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</si>
  <si>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</si>
  <si>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</si>
  <si>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</si>
  <si>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</si>
  <si>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</si>
  <si>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</si>
  <si>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</si>
  <si>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</si>
  <si>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</si>
  <si>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</si>
  <si>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</si>
  <si>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</si>
  <si>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</si>
  <si>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</si>
  <si>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</si>
  <si>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</si>
  <si>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</si>
  <si>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</si>
  <si>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</si>
  <si>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</si>
  <si>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</si>
  <si>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</si>
  <si>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</si>
  <si>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</si>
  <si>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</si>
  <si>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</si>
  <si>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</si>
  <si>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</si>
  <si>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</si>
  <si>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</si>
  <si>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</si>
  <si>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</si>
  <si>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</si>
  <si>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</si>
  <si>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</si>
  <si>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</si>
  <si>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</si>
  <si>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</si>
  <si>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</si>
  <si>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</si>
  <si>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</si>
  <si>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</si>
  <si>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</si>
  <si>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</si>
  <si>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</si>
  <si>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</si>
  <si>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</si>
  <si>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</si>
  <si>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</si>
  <si>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</si>
  <si>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</si>
  <si>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</si>
  <si>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</si>
  <si>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</si>
  <si>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</si>
  <si>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</si>
  <si>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</si>
  <si>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</si>
  <si>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</si>
  <si>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</si>
  <si>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</si>
  <si>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</si>
  <si>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</si>
  <si>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</si>
  <si>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</si>
  <si>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</si>
  <si>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</si>
  <si>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</si>
  <si>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</si>
  <si>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</si>
  <si>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</si>
  <si>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</si>
  <si>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</si>
  <si>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</si>
  <si>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</si>
  <si>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</si>
  <si>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</si>
  <si>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</si>
  <si>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</si>
  <si>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</si>
  <si>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</si>
  <si>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</si>
  <si>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</si>
  <si>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</si>
  <si>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</si>
  <si>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</si>
  <si>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</si>
  <si>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</si>
  <si>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</si>
  <si>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</si>
  <si>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</si>
  <si>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</si>
  <si>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</si>
  <si>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</si>
  <si>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</si>
  <si>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</si>
  <si>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</si>
  <si>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</si>
  <si>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</si>
  <si>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</si>
  <si>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</si>
  <si>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</si>
  <si>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</si>
  <si>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</si>
  <si>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</si>
  <si>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</si>
  <si>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</si>
  <si>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</si>
  <si>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</si>
  <si>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</si>
  <si>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</si>
  <si>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</si>
  <si>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</si>
  <si>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</si>
  <si>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</si>
  <si>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</si>
  <si>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</si>
  <si>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</si>
  <si>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</si>
  <si>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</si>
  <si>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</si>
  <si>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</si>
  <si>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</si>
  <si>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</si>
  <si>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</si>
  <si>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</si>
  <si>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</si>
  <si>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</si>
  <si>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</si>
  <si>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</si>
  <si>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</si>
  <si>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</si>
  <si>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</si>
  <si>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</si>
  <si>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</si>
  <si>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</si>
  <si>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</si>
  <si>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</si>
  <si>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</si>
  <si>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</si>
  <si>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</si>
  <si>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</si>
  <si>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</si>
  <si>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</si>
  <si>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</si>
  <si>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</si>
  <si>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</si>
  <si>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</si>
  <si>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</si>
  <si>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</si>
  <si>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</si>
  <si>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</si>
  <si>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</si>
  <si>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</si>
  <si>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</si>
  <si>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</si>
  <si>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</si>
  <si>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</si>
  <si>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</si>
  <si>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</si>
  <si>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</si>
  <si>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</si>
  <si>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</si>
  <si>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</si>
  <si>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</si>
  <si>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</si>
  <si>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</si>
  <si>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</si>
  <si>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</si>
  <si>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</si>
  <si>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</si>
  <si>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</si>
  <si>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</si>
  <si>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</si>
  <si>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</si>
  <si>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</si>
  <si>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</si>
  <si>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</si>
  <si>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</si>
  <si>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</si>
  <si>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</si>
  <si>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</si>
  <si>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</si>
  <si>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</si>
  <si>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</si>
  <si>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</si>
  <si>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</si>
  <si>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</si>
  <si>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</si>
  <si>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</si>
  <si>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</si>
  <si>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</si>
  <si>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</si>
  <si>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</si>
  <si>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</si>
  <si>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</si>
  <si>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</si>
  <si>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</si>
  <si>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</si>
  <si>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</si>
  <si>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</si>
  <si>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</si>
  <si>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</si>
  <si>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</si>
  <si>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</si>
  <si>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</si>
  <si>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</si>
  <si>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</si>
  <si>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</si>
  <si>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</si>
  <si>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</si>
  <si>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</si>
  <si>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</si>
  <si>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</si>
  <si>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</si>
  <si>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</si>
  <si>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</si>
  <si>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</si>
  <si>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</si>
  <si>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</si>
  <si>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</si>
  <si>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</si>
  <si>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</si>
  <si>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</si>
  <si>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</si>
  <si>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</si>
  <si>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</si>
  <si>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</si>
  <si>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</si>
  <si>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</si>
  <si>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</si>
  <si>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</si>
  <si>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</si>
  <si>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</si>
  <si>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</si>
  <si>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</si>
  <si>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</si>
  <si>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</si>
  <si>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</si>
  <si>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</si>
  <si>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</si>
  <si>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</si>
  <si>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</si>
  <si>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</si>
  <si>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</si>
  <si>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</si>
  <si>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</si>
  <si>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</si>
  <si>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</si>
  <si>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</si>
  <si>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</si>
  <si>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</si>
  <si>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</si>
  <si>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</si>
  <si>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</si>
  <si>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</si>
  <si>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</si>
  <si>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</si>
  <si>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</si>
  <si>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</si>
  <si>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</si>
  <si>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</si>
  <si>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</si>
  <si>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</si>
  <si>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</si>
  <si>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</si>
  <si>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</si>
  <si>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</si>
  <si>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</si>
  <si>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</si>
  <si>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</si>
  <si>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</si>
  <si>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</si>
  <si>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</si>
  <si>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</si>
  <si>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</si>
  <si>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</si>
  <si>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</si>
  <si>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</si>
  <si>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</si>
  <si>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</si>
  <si>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</si>
  <si>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</si>
  <si>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</si>
  <si>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</si>
  <si>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</si>
  <si>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</si>
  <si>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</si>
  <si>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</si>
  <si>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</si>
  <si>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</si>
  <si>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</si>
  <si>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</si>
  <si>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</si>
  <si>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</si>
  <si>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</si>
  <si>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</si>
  <si>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</si>
  <si>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</si>
  <si>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</si>
  <si>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</si>
  <si>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</si>
  <si>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</si>
  <si>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</si>
  <si>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</si>
  <si>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</si>
  <si>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</si>
  <si>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</si>
  <si>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</si>
  <si>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</si>
  <si>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</si>
  <si>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</si>
  <si>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</si>
  <si>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</si>
  <si>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</si>
  <si>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</si>
  <si>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</si>
  <si>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</si>
  <si>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</si>
  <si>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</si>
  <si>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</si>
  <si>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</si>
  <si>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</si>
  <si>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</si>
  <si>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</si>
  <si>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</si>
  <si>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</si>
  <si>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</si>
  <si>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</si>
  <si>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</si>
  <si>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</si>
  <si>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</si>
  <si>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</si>
  <si>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</si>
  <si>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</si>
  <si>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</si>
  <si>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</si>
  <si>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</si>
  <si>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</si>
  <si>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</si>
  <si>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</si>
  <si>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</si>
  <si>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</si>
  <si>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</si>
  <si>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</si>
  <si>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</si>
  <si>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</si>
  <si>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</si>
  <si>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</si>
  <si>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</si>
  <si>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</si>
  <si>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</si>
  <si>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</si>
  <si>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</si>
  <si>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</si>
  <si>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</si>
  <si>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</si>
  <si>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</si>
  <si>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</si>
  <si>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</si>
  <si>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</si>
  <si>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</si>
  <si>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</si>
  <si>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</si>
  <si>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</si>
  <si>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</si>
  <si>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</si>
  <si>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</si>
  <si>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</si>
  <si>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</si>
  <si>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</si>
  <si>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</si>
  <si>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</si>
  <si>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</si>
  <si>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</si>
  <si>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</si>
  <si>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</si>
  <si>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</si>
  <si>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</si>
  <si>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</si>
  <si>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</si>
  <si>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</si>
  <si>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</si>
  <si>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</si>
  <si>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</si>
  <si>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</si>
  <si>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</si>
  <si>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</si>
  <si>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</si>
  <si>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</si>
  <si>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</si>
  <si>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</si>
  <si>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</si>
  <si>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</si>
  <si>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</si>
  <si>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</si>
  <si>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</si>
  <si>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</si>
  <si>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</si>
  <si>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</si>
  <si>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</si>
  <si>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</si>
  <si>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</si>
  <si>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</si>
  <si>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</si>
  <si>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</si>
  <si>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</si>
  <si>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</si>
  <si>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</si>
  <si>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</si>
  <si>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</si>
  <si>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</si>
  <si>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</si>
  <si>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</si>
  <si>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</si>
  <si>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</si>
  <si>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</si>
  <si>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</si>
  <si>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</si>
  <si>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</si>
  <si>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</si>
  <si>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</si>
  <si>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</si>
  <si>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</si>
  <si>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</si>
  <si>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</si>
  <si>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</si>
  <si>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</si>
  <si>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</si>
  <si>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</si>
  <si>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</si>
  <si>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</si>
  <si>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</si>
  <si>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</si>
  <si>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</si>
  <si>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</si>
  <si>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</si>
  <si>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</si>
  <si>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</si>
  <si>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</si>
  <si>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</si>
  <si>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</si>
  <si>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</si>
  <si>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</si>
  <si>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</si>
  <si>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</si>
  <si>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</si>
  <si>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</si>
  <si>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</si>
  <si>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</si>
  <si>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</si>
  <si>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</si>
  <si>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</si>
  <si>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</si>
  <si>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</si>
  <si>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</si>
  <si>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</si>
  <si>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</si>
  <si>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</si>
  <si>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</si>
  <si>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</si>
  <si>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</si>
  <si>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</si>
  <si>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</si>
  <si>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</si>
  <si>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</si>
  <si>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</si>
  <si>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</si>
  <si>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</si>
  <si>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</si>
  <si>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</si>
  <si>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</si>
  <si>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</si>
  <si>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</si>
  <si>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</si>
  <si>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</si>
  <si>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</si>
  <si>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</si>
  <si>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</si>
  <si>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</si>
  <si>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</si>
  <si>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</si>
  <si>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</si>
  <si>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</si>
  <si>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</si>
  <si>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</si>
  <si>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</si>
  <si>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</si>
  <si>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</si>
  <si>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</si>
  <si>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</si>
  <si>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</si>
  <si>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</si>
  <si>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</si>
  <si>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</si>
  <si>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</si>
  <si>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</si>
  <si>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</si>
  <si>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</si>
  <si>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</si>
  <si>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</si>
  <si>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</si>
  <si>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</si>
  <si>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</si>
  <si>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</si>
  <si>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</si>
  <si>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</si>
  <si>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</si>
  <si>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</si>
  <si>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</si>
  <si>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</si>
  <si>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</si>
  <si>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</si>
  <si>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</si>
  <si>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</si>
  <si>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</si>
  <si>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</si>
  <si>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</si>
  <si>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</si>
  <si>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</si>
  <si>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</si>
  <si>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</si>
  <si>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</si>
  <si>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</si>
  <si>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</si>
  <si>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</si>
  <si>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</si>
  <si>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</si>
  <si>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</si>
  <si>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</si>
  <si>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</si>
  <si>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</si>
  <si>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</si>
  <si>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</si>
  <si>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</si>
  <si>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</si>
  <si>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</si>
  <si>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</si>
  <si>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</si>
  <si>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</si>
  <si>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</si>
  <si>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</si>
  <si>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</si>
  <si>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</si>
  <si>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</si>
  <si>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</si>
  <si>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</si>
  <si>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</si>
  <si>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</si>
  <si>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</si>
  <si>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</si>
  <si>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</si>
  <si>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</si>
  <si>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</si>
  <si>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</si>
  <si>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</si>
  <si>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</si>
  <si>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</si>
  <si>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</si>
  <si>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</si>
  <si>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</si>
  <si>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</si>
  <si>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</si>
  <si>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</si>
  <si>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</si>
  <si>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</si>
  <si>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</si>
  <si>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</si>
  <si>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</si>
  <si>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</si>
  <si>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</si>
  <si>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</si>
  <si>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</si>
  <si>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</si>
  <si>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</si>
  <si>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</si>
  <si>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</si>
  <si>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</si>
  <si>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</si>
  <si>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</si>
  <si>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</si>
  <si>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</si>
  <si>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</si>
  <si>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</si>
  <si>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</si>
  <si>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</si>
  <si>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</si>
  <si>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</si>
  <si>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</si>
  <si>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</si>
  <si>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</si>
  <si>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</si>
  <si>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</si>
  <si>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</si>
  <si>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</si>
  <si>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</si>
  <si>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</si>
  <si>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</si>
  <si>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</si>
  <si>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</si>
  <si>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</si>
  <si>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</si>
  <si>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</si>
  <si>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</si>
  <si>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</si>
  <si>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</si>
  <si>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</si>
  <si>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</si>
  <si>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</si>
  <si>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</si>
  <si>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</si>
  <si>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</si>
  <si>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</si>
  <si>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</si>
  <si>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</si>
  <si>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</si>
  <si>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</si>
  <si>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</si>
  <si>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</si>
  <si>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</si>
  <si>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</si>
  <si>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</si>
  <si>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</si>
  <si>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</si>
  <si>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</si>
  <si>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</si>
  <si>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</si>
  <si>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</si>
  <si>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</si>
  <si>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</si>
  <si>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</si>
  <si>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</si>
  <si>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</si>
  <si>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</si>
  <si>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</si>
  <si>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</si>
  <si>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</si>
  <si>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</si>
  <si>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</si>
  <si>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</si>
  <si>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</si>
  <si>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</si>
  <si>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</si>
  <si>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</si>
  <si>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</si>
  <si>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</si>
  <si>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</si>
  <si>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</si>
  <si>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</si>
  <si>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</si>
  <si>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</si>
  <si>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</si>
  <si>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</si>
  <si>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</si>
  <si>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</si>
  <si>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</si>
  <si>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</si>
  <si>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</si>
  <si>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</si>
  <si>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</si>
  <si>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</si>
  <si>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</si>
  <si>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</si>
  <si>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</si>
  <si>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</si>
  <si>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</si>
  <si>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</si>
  <si>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</si>
  <si>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</si>
  <si>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</si>
  <si>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</si>
  <si>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</si>
  <si>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</si>
  <si>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</si>
  <si>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</si>
  <si>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</si>
  <si>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</si>
  <si>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</si>
  <si>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</si>
  <si>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</si>
  <si>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</si>
  <si>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</si>
  <si>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</si>
  <si>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</si>
  <si>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</si>
  <si>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</si>
  <si>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</si>
  <si>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</si>
  <si>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</si>
  <si>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</si>
  <si>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</si>
  <si>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</si>
  <si>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</si>
  <si>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</si>
  <si>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</si>
  <si>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</si>
  <si>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</si>
  <si>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</si>
  <si>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</si>
  <si>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</si>
  <si>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</si>
  <si>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</si>
  <si>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</si>
  <si>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</si>
  <si>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</si>
  <si>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</si>
  <si>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</si>
  <si>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</si>
  <si>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</si>
  <si>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</si>
  <si>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</si>
  <si>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</si>
  <si>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</si>
  <si>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</si>
  <si>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</si>
  <si>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</si>
  <si>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</si>
  <si>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</si>
  <si>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</si>
  <si>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</si>
  <si>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</si>
  <si>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</si>
  <si>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</si>
  <si>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</si>
  <si>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</si>
  <si>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</si>
  <si>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</si>
  <si>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</si>
  <si>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</si>
  <si>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</si>
  <si>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</si>
  <si>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</si>
  <si>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</si>
  <si>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</si>
  <si>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</si>
  <si>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</si>
  <si>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</si>
  <si>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</si>
  <si>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</si>
  <si>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</si>
  <si>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</si>
  <si>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</si>
  <si>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</si>
  <si>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</si>
  <si>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</si>
  <si>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</si>
  <si>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</si>
  <si>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</si>
  <si>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</si>
  <si>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</si>
  <si>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</si>
  <si>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</si>
  <si>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</si>
  <si>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</si>
  <si>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</si>
  <si>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</si>
  <si>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</si>
  <si>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</si>
  <si>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</si>
  <si>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</si>
  <si>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</si>
  <si>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</si>
  <si>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</si>
  <si>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</si>
  <si>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</si>
  <si>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</si>
  <si>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</si>
  <si>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</si>
  <si>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</si>
  <si>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</si>
  <si>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</si>
  <si>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</si>
  <si>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</si>
  <si>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</si>
  <si>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</si>
  <si>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</si>
  <si>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</si>
  <si>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</si>
  <si>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</si>
  <si>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</si>
  <si>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</si>
  <si>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</si>
  <si>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</si>
  <si>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</si>
  <si>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</si>
  <si>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</si>
  <si>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</si>
  <si>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</si>
  <si>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</si>
  <si>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</si>
  <si>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</si>
  <si>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</si>
  <si>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</si>
  <si>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</si>
  <si>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</si>
  <si>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</si>
  <si>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</si>
  <si>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</si>
  <si>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</si>
  <si>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</si>
  <si>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</si>
  <si>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</si>
  <si>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</si>
  <si>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</si>
  <si>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</si>
  <si>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</si>
  <si>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</si>
  <si>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</si>
  <si>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</si>
  <si>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</si>
  <si>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</si>
  <si>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</si>
  <si>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</si>
  <si>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</si>
  <si>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</si>
  <si>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</si>
  <si>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</si>
  <si>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</si>
  <si>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</si>
  <si>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</si>
  <si>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</si>
  <si>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</si>
  <si>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</si>
  <si>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</si>
  <si>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</si>
  <si>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</si>
  <si>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</si>
  <si>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</si>
  <si>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</si>
  <si>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</si>
  <si>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</si>
  <si>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</si>
  <si>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</si>
  <si>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</si>
  <si>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</si>
  <si>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</si>
  <si>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</si>
  <si>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</si>
  <si>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</si>
  <si>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</si>
  <si>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</si>
  <si>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</si>
  <si>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</si>
  <si>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</si>
  <si>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</si>
  <si>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</si>
  <si>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</si>
  <si>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</si>
  <si>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</si>
  <si>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</si>
  <si>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</si>
  <si>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</si>
  <si>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</si>
  <si>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</si>
  <si>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</si>
  <si>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</si>
  <si>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</si>
  <si>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</si>
  <si>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</si>
  <si>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</si>
  <si>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</si>
  <si>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</si>
  <si>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</si>
  <si>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</si>
  <si>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</si>
  <si>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</si>
  <si>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</si>
  <si>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</si>
  <si>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</si>
  <si>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</si>
  <si>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</si>
  <si>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</si>
  <si>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</si>
  <si>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</si>
  <si>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</si>
  <si>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</si>
  <si>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</si>
  <si>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</si>
  <si>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</si>
  <si>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</si>
  <si>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</si>
  <si>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</si>
  <si>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</si>
  <si>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</si>
  <si>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</si>
  <si>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</si>
  <si>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</si>
  <si>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</si>
  <si>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</si>
  <si>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</si>
  <si>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</si>
  <si>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</si>
  <si>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</si>
  <si>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</si>
  <si>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</si>
  <si>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</si>
  <si>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</si>
  <si>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</si>
  <si>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</si>
  <si>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</si>
  <si>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</si>
  <si>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</si>
  <si>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</si>
  <si>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</si>
  <si>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</si>
  <si>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</si>
  <si>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</si>
  <si>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</si>
  <si>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</si>
  <si>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</si>
  <si>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</si>
  <si>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</si>
  <si>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</si>
  <si>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</si>
  <si>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</si>
  <si>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</si>
  <si>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</si>
  <si>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</si>
  <si>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</si>
  <si>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</si>
  <si>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</si>
  <si>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</si>
  <si>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</si>
  <si>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</si>
  <si>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</si>
  <si>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</si>
  <si>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</si>
  <si>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</si>
  <si>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</si>
  <si>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</si>
  <si>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</si>
  <si>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</si>
  <si>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</si>
  <si>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</si>
  <si>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</si>
  <si>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</si>
  <si>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</si>
  <si>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</si>
  <si>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</si>
  <si>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</si>
  <si>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</si>
  <si>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</si>
  <si>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</si>
  <si>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</si>
  <si>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</si>
  <si>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</si>
  <si>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</si>
  <si>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</si>
  <si>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</si>
  <si>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</si>
  <si>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</si>
  <si>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</si>
  <si>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</si>
  <si>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</si>
  <si>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</si>
  <si>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</si>
  <si>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</si>
  <si>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</si>
  <si>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</si>
  <si>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</si>
  <si>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</si>
  <si>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</si>
  <si>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</si>
  <si>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</si>
  <si>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</si>
  <si>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</si>
  <si>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</si>
  <si>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</si>
  <si>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</si>
  <si>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</si>
  <si>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</si>
  <si>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</si>
  <si>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</si>
  <si>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</si>
  <si>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</si>
  <si>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</si>
  <si>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</si>
  <si>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</si>
  <si>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</si>
  <si>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</si>
  <si>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</si>
  <si>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</si>
  <si>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</si>
  <si>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</si>
  <si>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</si>
  <si>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</si>
  <si>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</si>
  <si>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</si>
  <si>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</si>
  <si>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</si>
  <si>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</si>
  <si>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</si>
  <si>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</si>
  <si>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</si>
  <si>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</si>
  <si>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</si>
  <si>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</si>
  <si>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</si>
  <si>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</si>
  <si>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</si>
  <si>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</si>
  <si>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</si>
  <si>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</si>
  <si>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</si>
  <si>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</si>
  <si>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</si>
  <si>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</si>
  <si>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</si>
  <si>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</si>
  <si>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</si>
  <si>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</si>
  <si>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</si>
  <si>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</si>
  <si>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</si>
  <si>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</si>
  <si>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</si>
  <si>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</si>
  <si>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</si>
  <si>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</si>
  <si>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</si>
  <si>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</si>
  <si>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</si>
  <si>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</si>
  <si>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</si>
  <si>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</si>
  <si>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</si>
  <si>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</si>
  <si>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</si>
  <si>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</si>
  <si>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</si>
  <si>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</si>
  <si>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</si>
  <si>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</si>
  <si>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</si>
  <si>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</si>
  <si>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</si>
  <si>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</si>
  <si>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</si>
  <si>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</si>
  <si>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</si>
  <si>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</si>
  <si>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</si>
  <si>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</si>
  <si>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</si>
  <si>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</si>
  <si>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</si>
  <si>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</si>
  <si>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</si>
  <si>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</si>
  <si>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</si>
  <si>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</si>
  <si>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</si>
  <si>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</si>
  <si>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</si>
  <si>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</si>
  <si>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</si>
  <si>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</si>
  <si>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</si>
  <si>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</si>
  <si>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</si>
  <si>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</si>
  <si>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</si>
  <si>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</si>
  <si>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</si>
  <si>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</si>
  <si>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</si>
  <si>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</si>
  <si>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</si>
  <si>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</si>
  <si>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</si>
  <si>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</si>
  <si>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</si>
  <si>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</si>
  <si>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</si>
  <si>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</si>
  <si>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</si>
  <si>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</si>
  <si>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</si>
  <si>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</si>
  <si>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</si>
  <si>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</si>
  <si>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</si>
  <si>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</si>
  <si>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</si>
  <si>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</si>
  <si>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</si>
  <si>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</si>
  <si>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</si>
  <si>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</si>
  <si>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</si>
  <si>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</si>
  <si>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</si>
  <si>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</si>
  <si>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</si>
  <si>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</si>
  <si>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</si>
  <si>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</si>
  <si>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</si>
  <si>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</si>
  <si>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</si>
  <si>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</si>
  <si>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</si>
  <si>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</si>
  <si>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</si>
  <si>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</si>
  <si>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</si>
  <si>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</si>
  <si>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</si>
  <si>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</si>
  <si>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</si>
  <si>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</si>
  <si>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</si>
  <si>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</si>
  <si>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</si>
  <si>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</si>
  <si>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</si>
  <si>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</si>
  <si>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</si>
  <si>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</si>
  <si>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</si>
  <si>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</si>
  <si>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</si>
  <si>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</si>
  <si>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</si>
  <si>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</si>
  <si>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</si>
  <si>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</si>
  <si>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</si>
  <si>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</si>
  <si>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</si>
  <si>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</si>
  <si>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</si>
  <si>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</si>
  <si>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</si>
  <si>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</si>
  <si>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</si>
  <si>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</si>
  <si>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</si>
  <si>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</si>
  <si>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</si>
  <si>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</si>
  <si>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</si>
  <si>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</si>
  <si>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</si>
  <si>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</si>
  <si>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</si>
  <si>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</si>
  <si>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</si>
  <si>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</si>
  <si>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</si>
  <si>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</si>
  <si>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</si>
  <si>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</si>
  <si>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</si>
  <si>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</si>
  <si>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</si>
  <si>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</si>
  <si>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</si>
  <si>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</si>
  <si>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</si>
  <si>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</si>
  <si>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</si>
  <si>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</si>
  <si>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</si>
  <si>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</si>
  <si>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</si>
  <si>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</si>
  <si>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</si>
  <si>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</si>
  <si>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</si>
  <si>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</si>
  <si>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</si>
  <si>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</si>
  <si>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</si>
  <si>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</si>
  <si>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</si>
  <si>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</si>
  <si>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</si>
  <si>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</si>
  <si>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</si>
  <si>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</si>
  <si>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</si>
  <si>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</si>
  <si>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</si>
  <si>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</si>
  <si>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</si>
  <si>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</si>
  <si>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</si>
  <si>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</si>
  <si>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</si>
  <si>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</si>
  <si>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</si>
  <si>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</si>
  <si>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</si>
  <si>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</si>
  <si>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</si>
  <si>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</si>
  <si>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</si>
  <si>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</si>
  <si>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</si>
  <si>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</si>
  <si>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</si>
  <si>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</si>
  <si>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</si>
  <si>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</si>
  <si>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</si>
  <si>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</si>
  <si>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</si>
  <si>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</si>
  <si>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</si>
  <si>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</si>
  <si>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</si>
  <si>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</si>
  <si>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</si>
  <si>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</si>
  <si>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</si>
  <si>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</si>
  <si>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</si>
  <si>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</si>
  <si>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</si>
  <si>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</si>
  <si>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</si>
  <si>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</si>
  <si>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</si>
  <si>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</si>
  <si>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</si>
  <si>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</si>
  <si>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</si>
  <si>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</si>
  <si>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</si>
  <si>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</si>
  <si>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</si>
  <si>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</si>
  <si>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</si>
  <si>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</si>
  <si>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</si>
  <si>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</si>
  <si>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</si>
  <si>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</si>
  <si>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</si>
  <si>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</si>
  <si>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</si>
  <si>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</si>
  <si>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</si>
  <si>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</si>
  <si>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</si>
  <si>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</si>
  <si>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</si>
  <si>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</si>
  <si>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</si>
  <si>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</si>
  <si>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</si>
  <si>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</si>
  <si>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</si>
  <si>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</si>
  <si>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</si>
  <si>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</si>
  <si>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</si>
  <si>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</si>
  <si>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</si>
  <si>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</si>
  <si>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</si>
  <si>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</si>
  <si>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</si>
  <si>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</si>
  <si>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</si>
  <si>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</si>
  <si>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</si>
  <si>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</si>
  <si>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</si>
  <si>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</si>
  <si>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</si>
  <si>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</si>
  <si>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</si>
  <si>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</si>
  <si>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</si>
  <si>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</si>
  <si>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</si>
  <si>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</si>
  <si>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</si>
  <si>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</si>
  <si>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</si>
  <si>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</si>
  <si>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</si>
  <si>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</si>
  <si>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</si>
  <si>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</si>
  <si>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</si>
  <si>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</si>
  <si>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</si>
  <si>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</si>
  <si>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</si>
  <si>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</si>
  <si>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</si>
  <si>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</si>
  <si>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</si>
  <si>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</si>
  <si>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</si>
  <si>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</si>
  <si>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</si>
  <si>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</si>
  <si>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</si>
  <si>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</si>
  <si>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</si>
  <si>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</si>
  <si>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</si>
  <si>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</si>
  <si>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</si>
  <si>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</si>
  <si>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</si>
  <si>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</si>
  <si>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</si>
  <si>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</si>
  <si>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</si>
  <si>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</si>
  <si>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</si>
  <si>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</si>
  <si>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</si>
  <si>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</si>
  <si>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</si>
  <si>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</si>
  <si>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</si>
  <si>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</si>
  <si>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</si>
  <si>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</si>
  <si>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</si>
  <si>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</si>
  <si>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</si>
  <si>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</si>
  <si>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</si>
  <si>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</si>
  <si>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</si>
  <si>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</si>
  <si>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</si>
  <si>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</si>
  <si>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</si>
  <si>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</si>
  <si>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</si>
  <si>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</si>
  <si>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</si>
  <si>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</si>
  <si>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</si>
  <si>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</si>
  <si>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</si>
  <si>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</si>
  <si>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</si>
  <si>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</si>
  <si>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</si>
  <si>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</si>
  <si>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</si>
  <si>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</si>
  <si>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</si>
  <si>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</si>
  <si>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</si>
  <si>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</si>
  <si>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</si>
  <si>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</si>
  <si>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</si>
  <si>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</si>
  <si>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</si>
  <si>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</si>
  <si>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</si>
  <si>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</si>
  <si>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</si>
  <si>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</si>
  <si>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</si>
  <si>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</si>
  <si>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</si>
  <si>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</si>
  <si>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</si>
  <si>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</si>
  <si>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</si>
  <si>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</si>
  <si>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</si>
  <si>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</si>
  <si>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</si>
  <si>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</si>
  <si>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</si>
  <si>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</si>
  <si>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</si>
  <si>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</si>
  <si>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</si>
  <si>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</si>
  <si>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</si>
  <si>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</si>
  <si>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</si>
  <si>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</si>
  <si>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</si>
  <si>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</si>
  <si>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</si>
  <si>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</si>
  <si>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</si>
  <si>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</si>
  <si>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</si>
  <si>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</si>
  <si>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</si>
  <si>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</si>
  <si>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</si>
  <si>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</si>
  <si>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</si>
  <si>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</si>
  <si>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</si>
  <si>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</si>
  <si>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</si>
  <si>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</si>
  <si>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</si>
  <si>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</si>
  <si>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</si>
  <si>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</si>
  <si>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</si>
  <si>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</si>
  <si>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</si>
  <si>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</si>
  <si>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</si>
  <si>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</si>
  <si>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</si>
  <si>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</si>
  <si>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</si>
  <si>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</si>
  <si>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</si>
  <si>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</si>
  <si>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</si>
  <si>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</si>
  <si>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</si>
  <si>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</si>
  <si>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</si>
  <si>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</si>
  <si>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</si>
  <si>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</si>
  <si>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</si>
  <si>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</si>
  <si>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</si>
  <si>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</si>
  <si>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</si>
  <si>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</si>
  <si>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</si>
  <si>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</si>
  <si>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</si>
  <si>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</si>
  <si>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</si>
  <si>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</si>
  <si>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</si>
  <si>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</si>
  <si>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</si>
  <si>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</si>
  <si>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</si>
  <si>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</si>
  <si>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</si>
  <si>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</si>
  <si>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</si>
  <si>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</si>
  <si>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</si>
  <si>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</si>
  <si>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</si>
  <si>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</si>
  <si>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</si>
  <si>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</si>
  <si>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</si>
  <si>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</si>
  <si>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</si>
  <si>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</si>
  <si>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</si>
  <si>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</si>
  <si>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</si>
  <si>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</si>
  <si>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</si>
  <si>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</si>
  <si>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</si>
  <si>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</si>
  <si>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</si>
  <si>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</si>
  <si>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</si>
  <si>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</si>
  <si>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</si>
  <si>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</si>
  <si>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</si>
  <si>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</si>
  <si>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</si>
  <si>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</si>
  <si>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</si>
  <si>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</si>
  <si>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</si>
  <si>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</si>
  <si>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</si>
  <si>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</si>
  <si>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</si>
  <si>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</si>
  <si>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</si>
  <si>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</si>
  <si>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</si>
  <si>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</si>
  <si>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</si>
  <si>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</si>
  <si>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</si>
  <si>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</si>
  <si>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</si>
  <si>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</si>
  <si>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</si>
  <si>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</si>
  <si>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</si>
  <si>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</si>
  <si>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</si>
  <si>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</si>
  <si>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</si>
  <si>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</si>
  <si>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</si>
  <si>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</si>
  <si>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</si>
  <si>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</si>
  <si>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</si>
  <si>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</si>
  <si>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</si>
  <si>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</si>
  <si>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</si>
  <si>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</si>
  <si>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</si>
  <si>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</si>
  <si>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</si>
  <si>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</si>
  <si>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</si>
  <si>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</si>
  <si>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</si>
  <si>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</si>
  <si>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</si>
  <si>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</si>
  <si>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</si>
  <si>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</si>
  <si>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</si>
  <si>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</si>
  <si>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</si>
  <si>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</si>
  <si>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</si>
  <si>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</si>
  <si>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</si>
  <si>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</si>
  <si>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</si>
  <si>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</si>
  <si>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</si>
  <si>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</si>
  <si>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</si>
  <si>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</si>
  <si>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</si>
  <si>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</si>
  <si>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</si>
  <si>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</si>
  <si>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</si>
  <si>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</si>
  <si>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</si>
  <si>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</si>
  <si>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</si>
  <si>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</si>
  <si>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</si>
  <si>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</si>
  <si>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</si>
  <si>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</si>
  <si>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</si>
  <si>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</si>
  <si>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</si>
  <si>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</si>
  <si>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</si>
  <si>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</si>
  <si>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</si>
  <si>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</si>
  <si>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</si>
  <si>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</si>
  <si>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</si>
  <si>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</si>
  <si>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</si>
  <si>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</si>
  <si>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</si>
  <si>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</si>
  <si>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</si>
  <si>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</si>
  <si>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</si>
  <si>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</si>
  <si>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</si>
  <si>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</si>
  <si>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</si>
  <si>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</si>
  <si>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</si>
  <si>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</si>
  <si>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</si>
  <si>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</si>
  <si>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</si>
  <si>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</si>
  <si>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</si>
  <si>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</si>
  <si>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</si>
  <si>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</si>
  <si>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</si>
  <si>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</si>
  <si>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</si>
  <si>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</si>
  <si>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</si>
  <si>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</si>
  <si>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</si>
  <si>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</si>
  <si>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</si>
  <si>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</si>
  <si>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</si>
  <si>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</si>
  <si>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</si>
  <si>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</si>
  <si>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</si>
  <si>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</si>
  <si>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</si>
  <si>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</si>
  <si>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</si>
  <si>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</si>
  <si>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</si>
  <si>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</si>
  <si>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</si>
  <si>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</si>
  <si>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</si>
  <si>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</si>
  <si>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</si>
  <si>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</si>
  <si>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</si>
  <si>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</si>
  <si>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</si>
  <si>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</si>
  <si>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</si>
  <si>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</si>
  <si>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</si>
  <si>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</si>
  <si>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</si>
  <si>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</si>
  <si>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</si>
  <si>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</si>
  <si>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</si>
  <si>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</si>
  <si>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</si>
  <si>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</si>
  <si>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</si>
  <si>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</si>
  <si>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</si>
  <si>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</si>
  <si>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</si>
  <si>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</si>
  <si>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</si>
  <si>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</si>
  <si>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</si>
  <si>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</si>
  <si>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</si>
  <si>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</si>
  <si>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</si>
  <si>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</si>
  <si>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</si>
  <si>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</si>
  <si>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</si>
  <si>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</si>
  <si>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</si>
  <si>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</si>
  <si>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</si>
  <si>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</si>
  <si>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</si>
  <si>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</si>
  <si>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</si>
  <si>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</si>
  <si>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</si>
  <si>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</si>
  <si>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</si>
  <si>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</si>
  <si>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</si>
  <si>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</si>
  <si>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</si>
  <si>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</si>
  <si>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</si>
  <si>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</si>
  <si>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</si>
  <si>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</si>
  <si>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</si>
  <si>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</si>
  <si>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</si>
  <si>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</si>
  <si>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</si>
  <si>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</si>
  <si>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</si>
  <si>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</si>
  <si>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</si>
  <si>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</si>
  <si>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</si>
  <si>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</si>
  <si>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</si>
  <si>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</si>
  <si>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</si>
  <si>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</si>
  <si>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</si>
  <si>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</si>
  <si>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</si>
  <si>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</si>
  <si>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</si>
  <si>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</si>
  <si>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</si>
  <si>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</si>
  <si>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</si>
  <si>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</si>
  <si>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</si>
  <si>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</si>
  <si>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</si>
  <si>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</si>
  <si>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</si>
  <si>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</si>
  <si>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</si>
  <si>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</si>
  <si>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</si>
  <si>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</si>
  <si>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</si>
  <si>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</si>
  <si>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</si>
  <si>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</si>
  <si>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</si>
  <si>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</si>
  <si>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</si>
  <si>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</si>
  <si>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</si>
  <si>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</si>
  <si>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</si>
  <si>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</si>
  <si>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</si>
  <si>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</si>
  <si>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</si>
  <si>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</si>
  <si>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</si>
  <si>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</si>
  <si>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</si>
  <si>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</si>
  <si>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</si>
  <si>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</si>
  <si>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</si>
  <si>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</si>
  <si>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</si>
  <si>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</si>
  <si>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</si>
  <si>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</si>
  <si>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</si>
  <si>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</si>
  <si>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</si>
  <si>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</si>
  <si>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</si>
  <si>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</si>
  <si>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</si>
  <si>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</si>
  <si>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</si>
  <si>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</si>
  <si>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</si>
  <si>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</si>
  <si>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</si>
  <si>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</si>
  <si>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</si>
  <si>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</si>
  <si>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</si>
  <si>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</si>
  <si>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</si>
  <si>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</si>
  <si>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</si>
  <si>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</si>
  <si>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</si>
  <si>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</si>
  <si>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</si>
  <si>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</si>
  <si>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</si>
  <si>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</si>
  <si>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</si>
  <si>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</si>
  <si>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</si>
  <si>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</si>
  <si>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</si>
  <si>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</si>
  <si>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</si>
  <si>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</si>
  <si>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</si>
  <si>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</si>
  <si>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</si>
  <si>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</si>
  <si>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</si>
  <si>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</si>
  <si>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</si>
  <si>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</si>
  <si>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</si>
  <si>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</si>
  <si>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</si>
  <si>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</si>
  <si>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</si>
  <si>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</si>
  <si>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</si>
  <si>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</si>
  <si>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</si>
  <si>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</si>
  <si>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</si>
  <si>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</si>
  <si>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</si>
  <si>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</si>
  <si>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</si>
  <si>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</si>
  <si>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</si>
  <si>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</si>
  <si>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</si>
  <si>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</si>
  <si>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</si>
  <si>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</si>
  <si>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</si>
  <si>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</si>
  <si>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</si>
  <si>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</si>
  <si>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</si>
  <si>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</si>
  <si>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</si>
  <si>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</si>
  <si>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</si>
  <si>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</si>
  <si>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</si>
  <si>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</si>
  <si>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</si>
  <si>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</si>
  <si>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</si>
  <si>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</si>
  <si>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</si>
  <si>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</si>
  <si>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</si>
  <si>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</si>
  <si>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</si>
  <si>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</si>
  <si>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</si>
  <si>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</si>
  <si>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</si>
  <si>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</si>
  <si>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</si>
  <si>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</si>
  <si>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</si>
  <si>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</si>
  <si>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</si>
  <si>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</si>
  <si>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</si>
  <si>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</si>
  <si>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</si>
  <si>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</si>
  <si>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</si>
  <si>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</si>
  <si>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</si>
  <si>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</si>
  <si>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</si>
  <si>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</si>
  <si>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</si>
  <si>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</si>
  <si>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</si>
  <si>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</si>
  <si>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</si>
  <si>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</si>
  <si>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</si>
  <si>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</si>
  <si>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</si>
  <si>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</si>
  <si>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</si>
  <si>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</si>
  <si>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</si>
  <si>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</si>
  <si>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</si>
  <si>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</si>
  <si>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</si>
  <si>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</si>
  <si>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</si>
  <si>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</si>
  <si>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</si>
  <si>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</si>
  <si>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</si>
  <si>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</si>
  <si>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</si>
  <si>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</si>
  <si>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</si>
  <si>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</si>
  <si>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</si>
  <si>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</si>
  <si>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</si>
  <si>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</si>
  <si>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</si>
  <si>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</si>
  <si>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</si>
  <si>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</si>
  <si>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</si>
  <si>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</si>
  <si>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</si>
  <si>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</si>
  <si>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</si>
  <si>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</si>
  <si>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</si>
  <si>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</si>
  <si>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</si>
  <si>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</si>
  <si>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</si>
  <si>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</si>
  <si>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</si>
  <si>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</si>
  <si>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</si>
  <si>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</si>
  <si>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</si>
  <si>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</si>
  <si>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</si>
  <si>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</si>
  <si>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</si>
  <si>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</si>
  <si>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</si>
  <si>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</si>
  <si>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</si>
  <si>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</si>
  <si>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</si>
  <si>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</si>
  <si>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</si>
  <si>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</si>
  <si>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</si>
  <si>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</si>
  <si>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</si>
  <si>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</si>
  <si>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</si>
  <si>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</si>
  <si>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</si>
  <si>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</si>
  <si>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</si>
  <si>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</si>
  <si>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</si>
  <si>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</si>
  <si>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</si>
  <si>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</si>
  <si>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</si>
  <si>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</si>
  <si>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</si>
  <si>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</si>
  <si>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</si>
  <si>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</si>
  <si>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</si>
  <si>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</si>
  <si>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</si>
  <si>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</si>
  <si>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</si>
  <si>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</si>
  <si>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</si>
  <si>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</si>
  <si>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</si>
  <si>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</si>
  <si>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</si>
  <si>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</si>
  <si>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</si>
  <si>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</si>
  <si>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</si>
  <si>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</si>
  <si>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</si>
  <si>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</si>
  <si>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</si>
  <si>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</si>
  <si>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</si>
  <si>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</si>
  <si>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</si>
  <si>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</si>
  <si>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</si>
  <si>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</si>
  <si>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</si>
  <si>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</si>
  <si>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</si>
  <si>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</si>
  <si>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</si>
  <si>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</si>
  <si>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</si>
  <si>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</si>
  <si>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</si>
  <si>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</si>
  <si>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</si>
  <si>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</si>
  <si>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</si>
  <si>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</si>
  <si>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</si>
  <si>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</si>
  <si>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</si>
  <si>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</si>
  <si>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</si>
  <si>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</si>
  <si>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</si>
  <si>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</si>
  <si>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</si>
  <si>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</si>
  <si>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</si>
  <si>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</si>
  <si>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</si>
  <si>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</si>
  <si>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</si>
  <si>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</si>
  <si>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</si>
  <si>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</si>
  <si>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</si>
  <si>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</si>
  <si>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</si>
  <si>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</si>
  <si>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</si>
  <si>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</si>
  <si>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</si>
  <si>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</si>
  <si>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</si>
  <si>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</si>
  <si>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</si>
  <si>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</si>
  <si>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</si>
  <si>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</si>
  <si>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</si>
  <si>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</si>
  <si>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</si>
  <si>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</si>
  <si>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</si>
  <si>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</si>
  <si>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</si>
  <si>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</si>
  <si>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</si>
  <si>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</si>
  <si>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</si>
  <si>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</si>
  <si>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</si>
  <si>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</si>
  <si>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</si>
  <si>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</si>
  <si>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</si>
  <si>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</si>
  <si>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</si>
  <si>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</si>
  <si>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</si>
  <si>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</si>
  <si>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</si>
  <si>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</si>
  <si>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</si>
  <si>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</si>
  <si>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</si>
  <si>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</si>
  <si>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</si>
  <si>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</si>
  <si>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</si>
  <si>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</si>
  <si>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</si>
  <si>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</si>
  <si>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</si>
  <si>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</si>
  <si>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</si>
  <si>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</si>
  <si>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</si>
  <si>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</si>
  <si>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</si>
  <si>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</si>
  <si>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</si>
  <si>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</si>
  <si>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</si>
  <si>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</si>
  <si>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</si>
  <si>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</si>
  <si>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</si>
  <si>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</si>
  <si>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</si>
  <si>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</si>
  <si>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</si>
  <si>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</si>
  <si>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</si>
  <si>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</si>
  <si>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</si>
  <si>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</si>
  <si>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</si>
  <si>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</si>
  <si>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</si>
  <si>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</si>
  <si>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</si>
  <si>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</si>
  <si>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</si>
  <si>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</si>
  <si>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</si>
  <si>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</si>
  <si>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</si>
  <si>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</si>
  <si>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</si>
  <si>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</si>
  <si>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</si>
  <si>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</si>
  <si>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</si>
  <si>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</si>
  <si>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</si>
  <si>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</si>
  <si>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</si>
  <si>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</si>
  <si>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</si>
  <si>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</si>
  <si>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</si>
  <si>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</si>
  <si>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</si>
  <si>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</si>
  <si>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</si>
  <si>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</si>
  <si>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</si>
  <si>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</si>
  <si>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</si>
  <si>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</si>
  <si>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</si>
  <si>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</si>
  <si>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</si>
  <si>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</si>
  <si>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</si>
  <si>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</si>
  <si>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</si>
  <si>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</si>
  <si>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</si>
  <si>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</si>
  <si>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</si>
  <si>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</si>
  <si>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</si>
  <si>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</si>
  <si>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</si>
  <si>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</si>
  <si>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</si>
  <si>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</si>
  <si>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</si>
  <si>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</si>
  <si>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</si>
  <si>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</si>
  <si>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</si>
  <si>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</si>
  <si>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</si>
  <si>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</si>
  <si>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</si>
  <si>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</si>
  <si>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</si>
  <si>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</si>
  <si>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</si>
  <si>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</si>
  <si>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</si>
  <si>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</si>
  <si>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</si>
  <si>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</si>
  <si>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</si>
  <si>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</si>
  <si>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</si>
  <si>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</si>
  <si>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</si>
  <si>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</si>
  <si>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</si>
  <si>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</si>
  <si>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</si>
  <si>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</si>
  <si>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</si>
  <si>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</si>
  <si>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</si>
  <si>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</si>
  <si>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</si>
  <si>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</si>
  <si>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</si>
  <si>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</si>
  <si>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</si>
  <si>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</si>
  <si>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</si>
  <si>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</si>
  <si>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</si>
  <si>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</si>
  <si>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</si>
  <si>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</si>
  <si>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</si>
  <si>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</si>
  <si>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</si>
  <si>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</si>
  <si>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</si>
  <si>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</si>
  <si>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</si>
  <si>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</si>
  <si>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</si>
  <si>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</si>
  <si>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</si>
  <si>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</si>
  <si>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</si>
  <si>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</si>
  <si>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</si>
  <si>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</si>
  <si>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</si>
  <si>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</si>
  <si>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</si>
  <si>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</si>
  <si>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</si>
  <si>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</si>
  <si>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</si>
  <si>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</si>
  <si>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</si>
  <si>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</si>
  <si>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</si>
  <si>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</si>
  <si>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</si>
  <si>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</si>
  <si>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</si>
  <si>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</si>
  <si>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</si>
  <si>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</si>
  <si>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</si>
  <si>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</si>
  <si>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</si>
  <si>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</si>
  <si>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</si>
  <si>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</si>
  <si>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</si>
  <si>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</si>
  <si>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</si>
  <si>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</si>
  <si>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</si>
  <si>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</si>
  <si>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</si>
  <si>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</si>
  <si>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</si>
  <si>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</si>
  <si>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</si>
  <si>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</si>
  <si>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</si>
  <si>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</si>
  <si>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</si>
  <si>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</si>
  <si>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</si>
  <si>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</si>
  <si>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</si>
  <si>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</si>
  <si>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</si>
  <si>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</si>
  <si>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</si>
  <si>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</si>
  <si>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</si>
  <si>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</si>
  <si>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</si>
  <si>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</si>
  <si>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</si>
  <si>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</si>
  <si>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</si>
  <si>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</si>
  <si>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</si>
  <si>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</si>
  <si>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</si>
  <si>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</si>
  <si>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</si>
  <si>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</si>
  <si>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</si>
  <si>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</si>
  <si>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</si>
  <si>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</si>
  <si>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</si>
  <si>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</si>
  <si>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</si>
  <si>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</si>
  <si>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</si>
  <si>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</si>
  <si>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</si>
  <si>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</si>
  <si>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</si>
  <si>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</si>
  <si>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</si>
  <si>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</si>
  <si>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</si>
  <si>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</si>
  <si>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</si>
  <si>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</si>
  <si>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</si>
  <si>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</si>
  <si>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</si>
  <si>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</si>
  <si>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</si>
  <si>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</si>
  <si>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</si>
  <si>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</si>
  <si>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</si>
  <si>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</si>
  <si>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</si>
  <si>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</si>
  <si>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</si>
  <si>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</si>
  <si>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</si>
  <si>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</si>
  <si>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</si>
  <si>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</si>
  <si>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</si>
  <si>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</si>
  <si>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</si>
  <si>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</si>
  <si>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</si>
  <si>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</si>
  <si>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</si>
  <si>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</si>
  <si>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</si>
  <si>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</si>
  <si>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</si>
  <si>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</si>
  <si>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</si>
  <si>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</si>
  <si>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</si>
  <si>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</si>
  <si>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</si>
  <si>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</si>
  <si>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</si>
  <si>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</si>
  <si>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</si>
  <si>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</si>
  <si>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</si>
  <si>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</si>
  <si>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</si>
  <si>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</si>
  <si>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</si>
  <si>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</si>
  <si>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</si>
  <si>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</si>
  <si>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</si>
  <si>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</si>
  <si>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</si>
  <si>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</si>
  <si>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</si>
  <si>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</si>
  <si>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</si>
  <si>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</si>
  <si>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</si>
  <si>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</si>
  <si>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</si>
  <si>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</si>
  <si>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</si>
  <si>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</si>
  <si>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</si>
  <si>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</si>
  <si>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</si>
  <si>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</si>
  <si>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</si>
  <si>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</si>
  <si>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</si>
  <si>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</si>
  <si>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</si>
  <si>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</si>
  <si>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</si>
  <si>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</si>
  <si>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</si>
  <si>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</si>
  <si>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</si>
  <si>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</si>
  <si>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</si>
  <si>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</si>
  <si>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</si>
  <si>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</si>
  <si>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</si>
  <si>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</si>
  <si>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</si>
  <si>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</si>
  <si>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</si>
  <si>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</si>
  <si>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</si>
  <si>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</si>
  <si>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</si>
  <si>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</si>
  <si>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</si>
  <si>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</si>
  <si>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</si>
  <si>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</si>
  <si>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</si>
  <si>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</si>
  <si>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</si>
  <si>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</si>
  <si>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</si>
  <si>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</si>
  <si>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</si>
  <si>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</si>
  <si>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</si>
  <si>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</si>
  <si>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</si>
  <si>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</si>
  <si>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</si>
  <si>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</si>
  <si>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</si>
  <si>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</si>
  <si>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</si>
  <si>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</si>
  <si>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</si>
  <si>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</si>
  <si>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</si>
  <si>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</si>
  <si>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D6-7pCa, D5p, D3-4p, D1-2r, C1-2b</t>
  </si>
  <si>
    <t>Exotic Lonicera spp.</t>
  </si>
  <si>
    <t>H1-3r</t>
  </si>
  <si>
    <t>LHDL2.2Sep2022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</si>
</sst>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5446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30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3689</v>
      </c>
      <c r="B12" s="44" t="str">
        <f>IF(LEN(VLOOKUP(A12,'Species List'!$A:$G,2,FALSE))=0,"",VLOOKUP(A12,'Species List'!$A:$G,2,FALSE))</f>
        <v>northern pin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8">
        <f t="shared" ref="N12:N77" si="2">L12/$L$153</f>
        <v>0.14563106796116504</v>
      </c>
      <c r="O12" s="108">
        <f t="shared" ref="O12:O13" si="3">D12*N12</f>
        <v>0.72815533980582514</v>
      </c>
    </row>
    <row r="13" spans="1:15" x14ac:dyDescent="0.2">
      <c r="A13" s="122" t="s">
        <v>3692</v>
      </c>
      <c r="B13" s="44" t="str">
        <f>IF(LEN(VLOOKUP(A13,'Species List'!$A:$G,2,FALSE))=0,"",VLOOKUP(A13,'Species List'!$A:$G,2,FALSE))</f>
        <v>bur oak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[FAC-]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0.14563106796116504</v>
      </c>
      <c r="O13" s="108">
        <f t="shared" si="3"/>
        <v>0.72815533980582514</v>
      </c>
    </row>
    <row r="14" spans="1:15" x14ac:dyDescent="0.2">
      <c r="A14" s="122" t="s">
        <v>3536</v>
      </c>
      <c r="B14" s="44" t="str">
        <f>IF(LEN(VLOOKUP(A14,'Species List'!$A:$G,2,FALSE))=0,"",VLOOKUP(A14,'Species List'!$A:$G,2,FALSE))</f>
        <v>quaking aspen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[FAC]</v>
      </c>
      <c r="H14" s="44">
        <f>VLOOKUP(A14,'Species List'!$A:$G,7,FALSE)</f>
        <v>0</v>
      </c>
      <c r="J14" s="91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2.9126213592233011E-2</v>
      </c>
      <c r="O14" s="85">
        <f>D14*N14</f>
        <v>5.8252427184466021E-2</v>
      </c>
    </row>
    <row r="15" spans="1:15" x14ac:dyDescent="0.2">
      <c r="A15" s="122" t="s">
        <v>3654</v>
      </c>
      <c r="B15" s="44" t="str">
        <f>IF(LEN(VLOOKUP(A15,'Species List'!$A:$G,2,FALSE))=0,"",VLOOKUP(A15,'Species List'!$A:$G,2,FALSE))</f>
        <v>black cherry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[FACU]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0.14563106796116504</v>
      </c>
      <c r="O15" s="98">
        <f t="shared" ref="O15:O78" si="6">D15*N15</f>
        <v>0.58252427184466016</v>
      </c>
    </row>
    <row r="16" spans="1:15" x14ac:dyDescent="0.2">
      <c r="A16" s="122" t="s">
        <v>3755</v>
      </c>
      <c r="B16" s="44" t="str">
        <f>IF(LEN(VLOOKUP(A16,'Species List'!$A:$G,2,FALSE))=0,"",VLOOKUP(A16,'Species List'!$A:$G,2,FALSE))</f>
        <v>common buckthorn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0.14563106796116504</v>
      </c>
      <c r="O16" s="98">
        <f t="shared" si="6"/>
        <v>0</v>
      </c>
    </row>
    <row r="17" spans="1:15" x14ac:dyDescent="0.2">
      <c r="A17" s="123" t="s">
        <v>5444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91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85">
        <f t="shared" si="2"/>
        <v>4.8543689320388345E-3</v>
      </c>
      <c r="O17" s="98">
        <f t="shared" si="6"/>
        <v>0</v>
      </c>
    </row>
    <row r="18" spans="1:15" x14ac:dyDescent="0.2">
      <c r="A18" s="122" t="s">
        <v>4814</v>
      </c>
      <c r="B18" s="44" t="str">
        <f>IF(LEN(VLOOKUP(A18,'Species List'!$A:$G,2,FALSE))=0,"",VLOOKUP(A18,'Species List'!$A:$G,2,FALSE))</f>
        <v>prickly ash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2.9126213592233011E-2</v>
      </c>
      <c r="O18" s="98">
        <f t="shared" si="6"/>
        <v>8.7378640776699032E-2</v>
      </c>
    </row>
    <row r="19" spans="1:15" x14ac:dyDescent="0.2">
      <c r="A19" s="122" t="s">
        <v>2138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[FAC+]</v>
      </c>
      <c r="H19" s="44">
        <f>VLOOKUP(A19,'Species List'!$A:$G,7,FALSE)</f>
        <v>0</v>
      </c>
      <c r="J19" s="91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85">
        <f t="shared" si="2"/>
        <v>0.14563106796116504</v>
      </c>
      <c r="O19" s="98">
        <f t="shared" si="6"/>
        <v>0</v>
      </c>
    </row>
    <row r="20" spans="1:15" x14ac:dyDescent="0.2">
      <c r="A20" s="122" t="s">
        <v>3656</v>
      </c>
      <c r="B20" s="44" t="str">
        <f>IF(LEN(VLOOKUP(A20,'Species List'!$A:$G,2,FALSE))=0,"",VLOOKUP(A20,'Species List'!$A:$G,2,FALSE))</f>
        <v>chokecherry</v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[FAC-]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2.9126213592233011E-2</v>
      </c>
      <c r="O20" s="98">
        <f t="shared" si="6"/>
        <v>8.7378640776699032E-2</v>
      </c>
    </row>
    <row r="21" spans="1:15" x14ac:dyDescent="0.2">
      <c r="A21" s="122" t="s">
        <v>3848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91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2.9126213592233011E-2</v>
      </c>
      <c r="O21" s="98">
        <f t="shared" si="6"/>
        <v>8.7378640776699032E-2</v>
      </c>
    </row>
    <row r="22" spans="1:15" x14ac:dyDescent="0.2">
      <c r="A22" s="122" t="s">
        <v>3836</v>
      </c>
      <c r="B22" s="44" t="str">
        <f>IF(LEN(VLOOKUP(A22,'Species List'!$A:$G,2,FALSE))=0,"",VLOOKUP(A22,'Species List'!$A:$G,2,FALSE))</f>
        <v>Allegheny blackberry</v>
      </c>
      <c r="C22" s="44">
        <f>IF(LEN(VLOOKUP(A22,'Species List'!$A:$G,3,FALSE))=0,"",VLOOKUP(A22,'Species List'!$A:$G,3,FALSE))</f>
        <v>2</v>
      </c>
      <c r="D22" s="99">
        <f t="shared" si="4"/>
        <v>2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[FACU+]</v>
      </c>
      <c r="H22" s="44">
        <f>VLOOKUP(A22,'Species List'!$A:$G,7,FALSE)</f>
        <v>0</v>
      </c>
      <c r="J22" s="91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2.9126213592233011E-2</v>
      </c>
      <c r="O22" s="98">
        <f t="shared" si="6"/>
        <v>5.8252427184466021E-2</v>
      </c>
    </row>
    <row r="23" spans="1:15" x14ac:dyDescent="0.2">
      <c r="A23" s="122" t="s">
        <v>5438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2.9126213592233011E-2</v>
      </c>
      <c r="O23" s="98">
        <f t="shared" si="6"/>
        <v>8.7378640776699032E-2</v>
      </c>
    </row>
    <row r="24" spans="1:15" x14ac:dyDescent="0.2">
      <c r="A24" s="122" t="s">
        <v>1476</v>
      </c>
      <c r="B24" s="44" t="str">
        <f>IF(LEN(VLOOKUP(A24,'Species List'!$A:$G,2,FALSE))=0,"",VLOOKUP(A24,'Species List'!$A:$G,2,FALSE))</f>
        <v>American hazelnut</v>
      </c>
      <c r="C24" s="44">
        <f>IF(LEN(VLOOKUP(A24,'Species List'!$A:$G,3,FALSE))=0,"",VLOOKUP(A24,'Species List'!$A:$G,3,FALSE))</f>
        <v>3</v>
      </c>
      <c r="D24" s="99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FACU-</v>
      </c>
      <c r="H24" s="44">
        <f>VLOOKUP(A24,'Species List'!$A:$G,7,FALSE)</f>
        <v>0</v>
      </c>
      <c r="J24" s="91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2.9126213592233011E-2</v>
      </c>
      <c r="O24" s="98">
        <f t="shared" si="6"/>
        <v>8.7378640776699032E-2</v>
      </c>
    </row>
    <row r="25" spans="1:15" x14ac:dyDescent="0.2">
      <c r="A25" s="122" t="s">
        <v>3643</v>
      </c>
      <c r="B25" s="44" t="str">
        <f>IF(LEN(VLOOKUP(A25,'Species List'!$A:$G,2,FALSE))=0,"",VLOOKUP(A25,'Species List'!$A:$G,2,FALSE))</f>
        <v>wild plum</v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UPL</v>
      </c>
      <c r="H25" s="44">
        <f>VLOOKUP(A25,'Species List'!$A:$G,7,FALSE)</f>
        <v>0</v>
      </c>
      <c r="J25" s="91" t="s">
        <v>5409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100">
        <f t="shared" si="5"/>
        <v>0.5</v>
      </c>
      <c r="N25" s="85">
        <f t="shared" si="2"/>
        <v>4.8543689320388345E-3</v>
      </c>
      <c r="O25" s="98">
        <f t="shared" si="6"/>
        <v>1.4563106796116504E-2</v>
      </c>
    </row>
    <row r="26" spans="1:15" x14ac:dyDescent="0.2">
      <c r="A26" s="122" t="s">
        <v>5422</v>
      </c>
      <c r="B26" s="44" t="str">
        <f>IF(LEN(VLOOKUP(A26,'Species List'!$A:$G,2,FALSE))=0,"",VLOOKUP(A26,'Species List'!$A:$G,2,FALSE))</f>
        <v>woodbine</v>
      </c>
      <c r="C26" s="44">
        <f>IF(LEN(VLOOKUP(A26,'Species List'!$A:$G,3,FALSE))=0,"",VLOOKUP(A26,'Species List'!$A:$G,3,FALSE))</f>
        <v>2</v>
      </c>
      <c r="D26" s="99">
        <f t="shared" si="4"/>
        <v>2</v>
      </c>
      <c r="E26" s="44" t="str">
        <f>IF(LEN(VLOOKUP(A26,'Species List'!$A:$G,4,FALSE))=0,"",VLOOKUP(A26,'Species List'!$A:$G,4,FALSE))</f>
        <v>C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91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85">
        <f t="shared" si="2"/>
        <v>2.9126213592233011E-2</v>
      </c>
      <c r="O26" s="98">
        <f t="shared" si="6"/>
        <v>5.8252427184466021E-2</v>
      </c>
    </row>
    <row r="27" spans="1:15" x14ac:dyDescent="0.2">
      <c r="A27" s="122" t="s">
        <v>4765</v>
      </c>
      <c r="B27" s="44" t="str">
        <f>IF(LEN(VLOOKUP(A27,'Species List'!$A:$G,2,FALSE))=0,"",VLOOKUP(A27,'Species List'!$A:$G,2,FALSE))</f>
        <v>wild grape</v>
      </c>
      <c r="C27" s="44">
        <f>IF(LEN(VLOOKUP(A27,'Species List'!$A:$G,3,FALSE))=0,"",VLOOKUP(A27,'Species List'!$A:$G,3,FALSE))</f>
        <v>2</v>
      </c>
      <c r="D27" s="99">
        <f t="shared" si="4"/>
        <v>2</v>
      </c>
      <c r="E27" s="44" t="str">
        <f>IF(LEN(VLOOKUP(A27,'Species List'!$A:$G,4,FALSE))=0,"",VLOOKUP(A27,'Species List'!$A:$G,4,FALSE))</f>
        <v>C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FACW-</v>
      </c>
      <c r="H27" s="44">
        <f>VLOOKUP(A27,'Species List'!$A:$G,7,FALSE)</f>
        <v>0</v>
      </c>
      <c r="J27" s="91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85">
        <f t="shared" si="2"/>
        <v>2.9126213592233011E-2</v>
      </c>
      <c r="O27" s="98">
        <f t="shared" si="6"/>
        <v>5.8252427184466021E-2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103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30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435</v>
      </c>
      <c r="B12" s="44" t="str">
        <f>IF(LEN(VLOOKUP(A12,'Species List'!$A:$G,2,FALSE))=0,"",VLOOKUP(A12,'Species List'!$A:$G,2,FALSE))</f>
        <v>spreading dogbane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UPL</v>
      </c>
      <c r="H12" s="44">
        <f>VLOOKUP(A12,'Species List'!$A:$G,7,FALSE)</f>
        <v>0</v>
      </c>
      <c r="J12" s="124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8">
        <f t="shared" ref="N12:N13" si="2">L12/$L$153</f>
        <v>3.7037037037037035E-2</v>
      </c>
      <c r="O12" s="108">
        <f t="shared" ref="O12:O13" si="3">D12*N12</f>
        <v>7.407407407407407E-2</v>
      </c>
    </row>
    <row r="13" spans="1:15" x14ac:dyDescent="0.2">
      <c r="A13" s="122" t="s">
        <v>1365</v>
      </c>
      <c r="B13" s="44" t="str">
        <f>IF(LEN(VLOOKUP(A13,'Species List'!$A:$G,2,FALSE))=0,"",VLOOKUP(A13,'Species List'!$A:$G,2,FALSE))</f>
        <v>common enchanter's nightshade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[FACU]</v>
      </c>
      <c r="H13" s="44">
        <f>VLOOKUP(A13,'Species List'!$A:$G,7,FALSE)</f>
        <v>0</v>
      </c>
      <c r="J13" s="124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3.7037037037037035E-2</v>
      </c>
      <c r="O13" s="108">
        <f t="shared" si="3"/>
        <v>7.407407407407407E-2</v>
      </c>
    </row>
    <row r="14" spans="1:15" x14ac:dyDescent="0.2">
      <c r="A14" s="122" t="s">
        <v>1658</v>
      </c>
      <c r="B14" s="44" t="str">
        <f>IF(LEN(VLOOKUP(A14,'Species List'!$A:$G,2,FALSE))=0,"",VLOOKUP(A14,'Species List'!$A:$G,2,FALSE))</f>
        <v>pointed-leaved tick trefoil</v>
      </c>
      <c r="C14" s="44">
        <f>IF(LEN(VLOOKUP(A14,'Species List'!$A:$G,3,FALSE))=0,"",VLOOKUP(A14,'Species List'!$A:$G,3,FALSE))</f>
        <v>6</v>
      </c>
      <c r="D14" s="99">
        <f>VALUE(C14)</f>
        <v>6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4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0.18518518518518517</v>
      </c>
      <c r="O14" s="85">
        <f>D14*N14</f>
        <v>1.1111111111111112</v>
      </c>
    </row>
    <row r="15" spans="1:15" x14ac:dyDescent="0.2">
      <c r="A15" s="122" t="s">
        <v>359</v>
      </c>
      <c r="B15" s="44" t="str">
        <f>IF(LEN(VLOOKUP(A15,'Species List'!$A:$G,2,FALSE))=0,"",VLOOKUP(A15,'Species List'!$A:$G,2,FALSE))</f>
        <v>hog peanut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4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3.7037037037037035E-2</v>
      </c>
      <c r="O15" s="98">
        <f t="shared" ref="O15:O78" si="7">D15*N15</f>
        <v>7.407407407407407E-2</v>
      </c>
    </row>
    <row r="16" spans="1:15" x14ac:dyDescent="0.2">
      <c r="A16" s="122" t="s">
        <v>4210</v>
      </c>
      <c r="B16" s="44" t="str">
        <f>IF(LEN(VLOOKUP(A16,'Species List'!$A:$G,2,FALSE))=0,"",VLOOKUP(A16,'Species List'!$A:$G,2,FALSE))</f>
        <v>late goldenrod</v>
      </c>
      <c r="C16" s="44">
        <f>IF(LEN(VLOOKUP(A16,'Species List'!$A:$G,3,FALSE))=0,"",VLOOKUP(A16,'Species List'!$A:$G,3,FALSE))</f>
        <v>1</v>
      </c>
      <c r="D16" s="99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4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3.7037037037037035E-2</v>
      </c>
      <c r="O16" s="98">
        <f t="shared" si="7"/>
        <v>3.7037037037037035E-2</v>
      </c>
    </row>
    <row r="17" spans="1:15" x14ac:dyDescent="0.2">
      <c r="A17" s="122" t="s">
        <v>2240</v>
      </c>
      <c r="B17" s="44" t="str">
        <f>IF(LEN(VLOOKUP(A17,'Species List'!$A:$G,2,FALSE))=0,"",VLOOKUP(A17,'Species List'!$A:$G,2,FALSE))</f>
        <v>white avens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4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3.7037037037037035E-2</v>
      </c>
      <c r="O17" s="98">
        <f t="shared" si="7"/>
        <v>7.407407407407407E-2</v>
      </c>
    </row>
    <row r="18" spans="1:15" x14ac:dyDescent="0.2">
      <c r="A18" s="122" t="s">
        <v>2186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4</v>
      </c>
      <c r="D18" s="99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FACU+</v>
      </c>
      <c r="H18" s="44">
        <f>VLOOKUP(A18,'Species List'!$A:$G,7,FALSE)</f>
        <v>0</v>
      </c>
      <c r="J18" s="124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3.7037037037037035E-2</v>
      </c>
      <c r="O18" s="98">
        <f t="shared" si="7"/>
        <v>0.14814814814814814</v>
      </c>
    </row>
    <row r="19" spans="1:15" x14ac:dyDescent="0.2">
      <c r="A19" s="122" t="s">
        <v>1973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4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3.7037037037037035E-2</v>
      </c>
      <c r="O19" s="98">
        <f t="shared" si="7"/>
        <v>7.407407407407407E-2</v>
      </c>
    </row>
    <row r="20" spans="1:15" x14ac:dyDescent="0.2">
      <c r="A20" s="122" t="s">
        <v>2131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UPL</v>
      </c>
      <c r="H20" s="44">
        <f>VLOOKUP(A20,'Species List'!$A:$G,7,FALSE)</f>
        <v>0</v>
      </c>
      <c r="J20" s="124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3.7037037037037035E-2</v>
      </c>
      <c r="O20" s="98">
        <f t="shared" si="7"/>
        <v>0.1111111111111111</v>
      </c>
    </row>
    <row r="21" spans="1:15" x14ac:dyDescent="0.2">
      <c r="A21" s="122" t="s">
        <v>1419</v>
      </c>
      <c r="B21" s="44" t="str">
        <f>IF(LEN(VLOOKUP(A21,'Species List'!$A:$G,2,FALSE))=0,"",VLOOKUP(A21,'Species List'!$A:$G,2,FALSE))</f>
        <v>horseweed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[FAC-]</v>
      </c>
      <c r="H21" s="44">
        <f>VLOOKUP(A21,'Species List'!$A:$G,7,FALSE)</f>
        <v>0</v>
      </c>
      <c r="J21" s="124" t="s">
        <v>5409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100">
        <f t="shared" si="5"/>
        <v>0.5</v>
      </c>
      <c r="N21" s="98">
        <f t="shared" si="6"/>
        <v>6.1728395061728392E-3</v>
      </c>
      <c r="O21" s="98">
        <f t="shared" si="7"/>
        <v>0</v>
      </c>
    </row>
    <row r="22" spans="1:15" x14ac:dyDescent="0.2">
      <c r="A22" s="122" t="s">
        <v>2845</v>
      </c>
      <c r="B22" s="44" t="str">
        <f>IF(LEN(VLOOKUP(A22,'Species List'!$A:$G,2,FALSE))=0,"",VLOOKUP(A22,'Species List'!$A:$G,2,FALSE))</f>
        <v>Canada mayflower</v>
      </c>
      <c r="C22" s="44">
        <f>IF(LEN(VLOOKUP(A22,'Species List'!$A:$G,3,FALSE))=0,"",VLOOKUP(A22,'Species List'!$A:$G,3,FALSE))</f>
        <v>5</v>
      </c>
      <c r="D22" s="99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</v>
      </c>
      <c r="H22" s="44">
        <f>VLOOKUP(A22,'Species List'!$A:$G,7,FALSE)</f>
        <v>0</v>
      </c>
      <c r="J22" s="124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3.7037037037037035E-2</v>
      </c>
      <c r="O22" s="98">
        <f t="shared" si="7"/>
        <v>0.18518518518518517</v>
      </c>
    </row>
    <row r="23" spans="1:15" x14ac:dyDescent="0.2">
      <c r="A23" s="122" t="s">
        <v>3879</v>
      </c>
      <c r="B23" s="44" t="str">
        <f>IF(LEN(VLOOKUP(A23,'Species List'!$A:$G,2,FALSE))=0,"",VLOOKUP(A23,'Species List'!$A:$G,2,FALSE))</f>
        <v>black-eyed susan</v>
      </c>
      <c r="C23" s="44">
        <f>IF(LEN(VLOOKUP(A23,'Species List'!$A:$G,3,FALSE))=0,"",VLOOKUP(A23,'Species List'!$A:$G,3,FALSE))</f>
        <v>4</v>
      </c>
      <c r="D23" s="99">
        <f t="shared" si="4"/>
        <v>4</v>
      </c>
      <c r="E23" s="44" t="str">
        <f>IF(LEN(VLOOKUP(A23,'Species List'!$A:$G,4,FALSE))=0,"",VLOOKUP(A23,'Species List'!$A:$G,4,FALSE))</f>
        <v/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4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98">
        <f t="shared" si="6"/>
        <v>6.1728395061728392E-3</v>
      </c>
      <c r="O23" s="98">
        <f t="shared" si="7"/>
        <v>2.4691358024691357E-2</v>
      </c>
    </row>
    <row r="24" spans="1:15" x14ac:dyDescent="0.2">
      <c r="A24" s="122" t="s">
        <v>234</v>
      </c>
      <c r="B24" s="44" t="str">
        <f>IF(LEN(VLOOKUP(A24,'Species List'!$A:$G,2,FALSE))=0,"",VLOOKUP(A24,'Species List'!$A:$G,2,FALSE))</f>
        <v>white snakeroot</v>
      </c>
      <c r="C24" s="44">
        <f>IF(LEN(VLOOKUP(A24,'Species List'!$A:$G,3,FALSE))=0,"",VLOOKUP(A24,'Species List'!$A:$G,3,FALSE))</f>
        <v>1</v>
      </c>
      <c r="D24" s="99">
        <f t="shared" si="4"/>
        <v>1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4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3.7037037037037035E-2</v>
      </c>
      <c r="O24" s="98">
        <f t="shared" si="7"/>
        <v>3.7037037037037035E-2</v>
      </c>
    </row>
    <row r="25" spans="1:15" x14ac:dyDescent="0.2">
      <c r="A25" s="122" t="s">
        <v>3627</v>
      </c>
      <c r="B25" s="44" t="str">
        <f>IF(LEN(VLOOKUP(A25,'Species List'!$A:$G,2,FALSE))=0,"",VLOOKUP(A25,'Species List'!$A:$G,2,FALSE))</f>
        <v>white rattlesnakeroot</v>
      </c>
      <c r="C25" s="44">
        <f>IF(LEN(VLOOKUP(A25,'Species List'!$A:$G,3,FALSE))=0,"",VLOOKUP(A25,'Species List'!$A:$G,3,FALSE))</f>
        <v>5</v>
      </c>
      <c r="D25" s="99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24" t="s">
        <v>5409</v>
      </c>
      <c r="K25" s="47" t="str">
        <f>VLOOKUP(J25,'Species List'!$H$1:$J$9,2,FALSE)</f>
        <v>&gt;0-1%</v>
      </c>
      <c r="L25" s="47">
        <f>VLOOKUP(K25,'Species List'!$I$1:$N$8,2,FALSE)</f>
        <v>0.5</v>
      </c>
      <c r="M25" s="100">
        <f t="shared" si="5"/>
        <v>0.5</v>
      </c>
      <c r="N25" s="98">
        <f t="shared" si="6"/>
        <v>6.1728395061728392E-3</v>
      </c>
      <c r="O25" s="98">
        <f t="shared" si="7"/>
        <v>3.0864197530864196E-2</v>
      </c>
    </row>
    <row r="26" spans="1:15" x14ac:dyDescent="0.2">
      <c r="A26" s="122" t="s">
        <v>472</v>
      </c>
      <c r="B26" s="44" t="str">
        <f>IF(LEN(VLOOKUP(A26,'Species List'!$A:$G,2,FALSE))=0,"",VLOOKUP(A26,'Species List'!$A:$G,2,FALSE))</f>
        <v>Jack-in-the-pulpit</v>
      </c>
      <c r="C26" s="44">
        <f>IF(LEN(VLOOKUP(A26,'Species List'!$A:$G,3,FALSE))=0,"",VLOOKUP(A26,'Species List'!$A:$G,3,FALSE))</f>
        <v>4</v>
      </c>
      <c r="D26" s="99">
        <f t="shared" si="4"/>
        <v>4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FACW-</v>
      </c>
      <c r="H26" s="44">
        <f>VLOOKUP(A26,'Species List'!$A:$G,7,FALSE)</f>
        <v>0</v>
      </c>
      <c r="J26" s="124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3.7037037037037035E-2</v>
      </c>
      <c r="O26" s="98">
        <f t="shared" si="7"/>
        <v>0.14814814814814814</v>
      </c>
    </row>
    <row r="27" spans="1:15" x14ac:dyDescent="0.2">
      <c r="A27" s="122" t="s">
        <v>532</v>
      </c>
      <c r="B27" s="44" t="str">
        <f>IF(LEN(VLOOKUP(A27,'Species List'!$A:$G,2,FALSE))=0,"",VLOOKUP(A27,'Species List'!$A:$G,2,FALSE))</f>
        <v>poke milkweed</v>
      </c>
      <c r="C27" s="44">
        <f>IF(LEN(VLOOKUP(A27,'Species List'!$A:$G,3,FALSE))=0,"",VLOOKUP(A27,'Species List'!$A:$G,3,FALSE))</f>
        <v>7</v>
      </c>
      <c r="D27" s="99">
        <f t="shared" si="4"/>
        <v>7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UPL</v>
      </c>
      <c r="H27" s="44">
        <f>VLOOKUP(A27,'Species List'!$A:$G,7,FALSE)</f>
        <v>0</v>
      </c>
      <c r="J27" s="124">
        <v>1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3.7037037037037035E-2</v>
      </c>
      <c r="O27" s="98">
        <f t="shared" si="7"/>
        <v>0.25925925925925924</v>
      </c>
    </row>
    <row r="28" spans="1:15" x14ac:dyDescent="0.2">
      <c r="A28" s="122" t="s">
        <v>4466</v>
      </c>
      <c r="B28" s="44" t="str">
        <f>IF(LEN(VLOOKUP(A28,'Species List'!$A:$G,2,FALSE))=0,"",VLOOKUP(A28,'Species List'!$A:$G,2,FALSE))</f>
        <v>common dandelion</v>
      </c>
      <c r="C28" s="44">
        <f>IF(LEN(VLOOKUP(A28,'Species List'!$A:$G,3,FALSE))=0,"",VLOOKUP(A28,'Species List'!$A:$G,3,FALSE))</f>
        <v>0</v>
      </c>
      <c r="D28" s="99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24" t="s">
        <v>5409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100">
        <f t="shared" si="5"/>
        <v>0.5</v>
      </c>
      <c r="N28" s="98">
        <f t="shared" si="6"/>
        <v>6.1728395061728392E-3</v>
      </c>
      <c r="O28" s="98">
        <f t="shared" si="7"/>
        <v>0</v>
      </c>
    </row>
    <row r="29" spans="1:15" x14ac:dyDescent="0.2">
      <c r="A29" s="122" t="s">
        <v>2946</v>
      </c>
      <c r="B29" s="44" t="str">
        <f>IF(LEN(VLOOKUP(A29,'Species List'!$A:$G,2,FALSE))=0,"",VLOOKUP(A29,'Species List'!$A:$G,2,FALSE))</f>
        <v>wild bergamot</v>
      </c>
      <c r="C29" s="44">
        <f>IF(LEN(VLOOKUP(A29,'Species List'!$A:$G,3,FALSE))=0,"",VLOOKUP(A29,'Species List'!$A:$G,3,FALSE))</f>
        <v>3</v>
      </c>
      <c r="D29" s="99">
        <f t="shared" si="4"/>
        <v>3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4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3.7037037037037035E-2</v>
      </c>
      <c r="O29" s="98">
        <f t="shared" si="7"/>
        <v>0.1111111111111111</v>
      </c>
    </row>
    <row r="30" spans="1:15" x14ac:dyDescent="0.2">
      <c r="A30" s="122" t="s">
        <v>2167</v>
      </c>
      <c r="B30" s="44" t="str">
        <f>IF(LEN(VLOOKUP(A30,'Species List'!$A:$G,2,FALSE))=0,"",VLOOKUP(A30,'Species List'!$A:$G,2,FALSE))</f>
        <v>northern bedstraw</v>
      </c>
      <c r="C30" s="44">
        <f>IF(LEN(VLOOKUP(A30,'Species List'!$A:$G,3,FALSE))=0,"",VLOOKUP(A30,'Species List'!$A:$G,3,FALSE))</f>
        <v>4</v>
      </c>
      <c r="D30" s="99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</v>
      </c>
      <c r="H30" s="44">
        <f>VLOOKUP(A30,'Species List'!$A:$G,7,FALSE)</f>
        <v>0</v>
      </c>
      <c r="J30" s="124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3.7037037037037035E-2</v>
      </c>
      <c r="O30" s="98">
        <f t="shared" si="7"/>
        <v>0.14814814814814814</v>
      </c>
    </row>
    <row r="31" spans="1:15" x14ac:dyDescent="0.2">
      <c r="A31" s="122" t="s">
        <v>4243</v>
      </c>
      <c r="B31" s="44" t="str">
        <f>IF(LEN(VLOOKUP(A31,'Species List'!$A:$G,2,FALSE))=0,"",VLOOKUP(A31,'Species List'!$A:$G,2,FALSE))</f>
        <v>showy goldenrod</v>
      </c>
      <c r="C31" s="44">
        <f>IF(LEN(VLOOKUP(A31,'Species List'!$A:$G,3,FALSE))=0,"",VLOOKUP(A31,'Species List'!$A:$G,3,FALSE))</f>
        <v>5</v>
      </c>
      <c r="D31" s="99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24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3.7037037037037035E-2</v>
      </c>
      <c r="O31" s="98">
        <f t="shared" si="7"/>
        <v>0.18518518518518517</v>
      </c>
    </row>
    <row r="32" spans="1:15" x14ac:dyDescent="0.2">
      <c r="A32" s="122" t="s">
        <v>443</v>
      </c>
      <c r="B32" s="44" t="str">
        <f>IF(LEN(VLOOKUP(A32,'Species List'!$A:$G,2,FALSE))=0,"",VLOOKUP(A32,'Species List'!$A:$G,2,FALSE))</f>
        <v>columbine</v>
      </c>
      <c r="C32" s="44">
        <f>IF(LEN(VLOOKUP(A32,'Species List'!$A:$G,3,FALSE))=0,"",VLOOKUP(A32,'Species List'!$A:$G,3,FALSE))</f>
        <v>4</v>
      </c>
      <c r="D32" s="99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FAC-</v>
      </c>
      <c r="H32" s="44">
        <f>VLOOKUP(A32,'Species List'!$A:$G,7,FALSE)</f>
        <v>0</v>
      </c>
      <c r="J32" s="124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3.7037037037037035E-2</v>
      </c>
      <c r="O32" s="98">
        <f t="shared" si="7"/>
        <v>0.14814814814814814</v>
      </c>
    </row>
    <row r="33" spans="1:15" x14ac:dyDescent="0.2">
      <c r="A33" s="122" t="s">
        <v>1372</v>
      </c>
      <c r="B33" s="44" t="str">
        <f>IF(LEN(VLOOKUP(A33,'Species List'!$A:$G,2,FALSE))=0,"",VLOOKUP(A33,'Species List'!$A:$G,2,FALSE))</f>
        <v>Canada thistle</v>
      </c>
      <c r="C33" s="44">
        <f>IF(LEN(VLOOKUP(A33,'Species List'!$A:$G,3,FALSE))=0,"",VLOOKUP(A33,'Species List'!$A:$G,3,FALSE))</f>
        <v>0</v>
      </c>
      <c r="D33" s="99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4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3.7037037037037035E-2</v>
      </c>
      <c r="O33" s="98">
        <f t="shared" si="7"/>
        <v>0</v>
      </c>
    </row>
    <row r="34" spans="1:15" x14ac:dyDescent="0.2">
      <c r="A34" s="122" t="s">
        <v>4154</v>
      </c>
      <c r="B34" s="44" t="str">
        <f>IF(LEN(VLOOKUP(A34,'Species List'!$A:$G,2,FALSE))=0,"",VLOOKUP(A34,'Species List'!$A:$G,2,FALSE))</f>
        <v>white campion</v>
      </c>
      <c r="C34" s="44">
        <f>IF(LEN(VLOOKUP(A34,'Species List'!$A:$G,3,FALSE))=0,"",VLOOKUP(A34,'Species List'!$A:$G,3,FALSE))</f>
        <v>0</v>
      </c>
      <c r="D34" s="99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Introduced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24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3.7037037037037035E-2</v>
      </c>
      <c r="O34" s="98">
        <f t="shared" si="7"/>
        <v>0</v>
      </c>
    </row>
    <row r="35" spans="1:15" x14ac:dyDescent="0.2">
      <c r="A35" s="122" t="s">
        <v>2846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5</v>
      </c>
      <c r="D35" s="99">
        <f t="shared" si="4"/>
        <v>5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124" t="s">
        <v>5409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100">
        <f t="shared" si="5"/>
        <v>0.5</v>
      </c>
      <c r="N35" s="98">
        <f t="shared" si="6"/>
        <v>6.1728395061728392E-3</v>
      </c>
      <c r="O35" s="98">
        <f t="shared" si="7"/>
        <v>3.0864197530864196E-2</v>
      </c>
    </row>
    <row r="36" spans="1:15" x14ac:dyDescent="0.2">
      <c r="A36" s="122" t="s">
        <v>2233</v>
      </c>
      <c r="B36" s="44" t="str">
        <f>IF(LEN(VLOOKUP(A36,'Species List'!$A:$G,2,FALSE))=0,"",VLOOKUP(A36,'Species List'!$A:$G,2,FALSE))</f>
        <v>wild geranium</v>
      </c>
      <c r="C36" s="44">
        <f>IF(LEN(VLOOKUP(A36,'Species List'!$A:$G,3,FALSE))=0,"",VLOOKUP(A36,'Species List'!$A:$G,3,FALSE))</f>
        <v>4</v>
      </c>
      <c r="D36" s="99">
        <f t="shared" si="4"/>
        <v>4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24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3.7037037037037035E-2</v>
      </c>
      <c r="O36" s="98">
        <f t="shared" si="7"/>
        <v>0.14814814814814814</v>
      </c>
    </row>
    <row r="37" spans="1:15" x14ac:dyDescent="0.2">
      <c r="A37" s="122" t="s">
        <v>4422</v>
      </c>
      <c r="B37" s="44" t="str">
        <f>IF(LEN(VLOOKUP(A37,'Species List'!$A:$G,2,FALSE))=0,"",VLOOKUP(A37,'Species List'!$A:$G,2,FALSE))</f>
        <v>side-flowering aster</v>
      </c>
      <c r="C37" s="44">
        <f>IF(LEN(VLOOKUP(A37,'Species List'!$A:$G,3,FALSE))=0,"",VLOOKUP(A37,'Species List'!$A:$G,3,FALSE))</f>
        <v>4</v>
      </c>
      <c r="D37" s="99">
        <f t="shared" si="4"/>
        <v>4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[FACW-]</v>
      </c>
      <c r="H37" s="44">
        <f>VLOOKUP(A37,'Species List'!$A:$G,7,FALSE)</f>
        <v>0</v>
      </c>
      <c r="J37" s="124" t="s">
        <v>5407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3.7037037037037035E-2</v>
      </c>
      <c r="O37" s="98">
        <f t="shared" si="7"/>
        <v>0.14814814814814814</v>
      </c>
    </row>
    <row r="38" spans="1:15" x14ac:dyDescent="0.2">
      <c r="A38" s="122" t="s">
        <v>4219</v>
      </c>
      <c r="B38" s="44" t="str">
        <f>IF(LEN(VLOOKUP(A38,'Species List'!$A:$G,2,FALSE))=0,"",VLOOKUP(A38,'Species List'!$A:$G,2,FALSE))</f>
        <v>giant goldenrod</v>
      </c>
      <c r="C38" s="44">
        <f>IF(LEN(VLOOKUP(A38,'Species List'!$A:$G,3,FALSE))=0,"",VLOOKUP(A38,'Species List'!$A:$G,3,FALSE))</f>
        <v>3</v>
      </c>
      <c r="D38" s="99">
        <f t="shared" si="4"/>
        <v>3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FACW</v>
      </c>
      <c r="H38" s="44">
        <f>VLOOKUP(A38,'Species List'!$A:$G,7,FALSE)</f>
        <v>0</v>
      </c>
      <c r="J38" s="124" t="s">
        <v>5407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3.7037037037037035E-2</v>
      </c>
      <c r="O38" s="98">
        <f t="shared" si="7"/>
        <v>0.1111111111111111</v>
      </c>
    </row>
    <row r="39" spans="1:15" x14ac:dyDescent="0.2">
      <c r="A39" s="122" t="s">
        <v>2301</v>
      </c>
      <c r="B39" s="44" t="str">
        <f>IF(LEN(VLOOKUP(A39,'Species List'!$A:$G,2,FALSE))=0,"",VLOOKUP(A39,'Species List'!$A:$G,2,FALSE))</f>
        <v>Virginia stickseed</v>
      </c>
      <c r="C39" s="44">
        <f>IF(LEN(VLOOKUP(A39,'Species List'!$A:$G,3,FALSE))=0,"",VLOOKUP(A39,'Species List'!$A:$G,3,FALSE))</f>
        <v>1</v>
      </c>
      <c r="D39" s="99">
        <f t="shared" si="4"/>
        <v>1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>FAC-</v>
      </c>
      <c r="H39" s="44">
        <f>VLOOKUP(A39,'Species List'!$A:$G,7,FALSE)</f>
        <v>0</v>
      </c>
      <c r="J39" s="124" t="s">
        <v>5409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100">
        <f t="shared" si="5"/>
        <v>0.5</v>
      </c>
      <c r="N39" s="98">
        <f t="shared" si="6"/>
        <v>6.1728395061728392E-3</v>
      </c>
      <c r="O39" s="98">
        <f t="shared" si="7"/>
        <v>6.1728395061728392E-3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81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B9" sqref="B9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3.5" thickTop="1" x14ac:dyDescent="0.2">
      <c r="A10" s="152"/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2" t="s">
        <v>1121</v>
      </c>
      <c r="B12" s="44" t="str">
        <f>IF(LEN(VLOOKUP(A12,'Species List'!$A:$G,2,FALSE))=0,"",VLOOKUP(A12,'Species List'!$A:$G,2,FALSE))</f>
        <v>Pennsylvania sedge</v>
      </c>
      <c r="C12" s="44">
        <f>IF(LEN(VLOOKUP(A12,'Species List'!$A:$G,3,FALSE))=0,"",VLOOKUP(A12,'Species List'!$A:$G,3,FALSE))</f>
        <v>3</v>
      </c>
      <c r="D12" s="99">
        <f t="shared" ref="D12:D20" si="0">VALUE(C12)</f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4">
        <v>4</v>
      </c>
      <c r="K12" s="47" t="str">
        <f>VLOOKUP(J12,'Species List'!$H$1:$J$9,2,FALSE)</f>
        <v>&gt;50-75%</v>
      </c>
      <c r="L12" s="47">
        <f>VLOOKUP(K12,'Species List'!$I$1:$N$8,2,FALSE)</f>
        <v>62.5</v>
      </c>
      <c r="M12" s="100">
        <f t="shared" ref="M12:M78" si="1">VALUE(L12)</f>
        <v>62.5</v>
      </c>
      <c r="N12" s="108">
        <f t="shared" ref="N12:N77" si="2">L12/$L$153</f>
        <v>0.80645161290322576</v>
      </c>
      <c r="O12" s="108">
        <f t="shared" ref="O12:O78" si="3">D12*N12</f>
        <v>2.419354838709677</v>
      </c>
    </row>
    <row r="13" spans="1:15" x14ac:dyDescent="0.2">
      <c r="A13" s="122" t="s">
        <v>1880</v>
      </c>
      <c r="B13" s="44" t="str">
        <f>IF(LEN(VLOOKUP(A13,'Species List'!$A:$G,2,FALSE))=0,"",VLOOKUP(A13,'Species List'!$A:$G,2,FALSE))</f>
        <v>bottlebrush grass</v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4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3.870967741935484E-2</v>
      </c>
      <c r="O13" s="108">
        <f t="shared" si="3"/>
        <v>0.23225806451612904</v>
      </c>
    </row>
    <row r="14" spans="1:15" x14ac:dyDescent="0.2">
      <c r="A14" s="122" t="s">
        <v>1892</v>
      </c>
      <c r="B14" s="44" t="str">
        <f>IF(LEN(VLOOKUP(A14,'Species List'!$A:$G,2,FALSE))=0,"",VLOOKUP(A14,'Species List'!$A:$G,2,FALSE))</f>
        <v>Virginia wildrye</v>
      </c>
      <c r="C14" s="44">
        <f>IF(LEN(VLOOKUP(A14,'Species List'!$A:$G,3,FALSE))=0,"",VLOOKUP(A14,'Species List'!$A:$G,3,FALSE))</f>
        <v>4</v>
      </c>
      <c r="D14" s="99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124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3.870967741935484E-2</v>
      </c>
      <c r="O14" s="107">
        <f t="shared" si="3"/>
        <v>0.15483870967741936</v>
      </c>
    </row>
    <row r="15" spans="1:15" x14ac:dyDescent="0.2">
      <c r="A15" s="122" t="s">
        <v>3288</v>
      </c>
      <c r="B15" s="44" t="str">
        <f>IF(LEN(VLOOKUP(A15,'Species List'!$A:$G,2,FALSE))=0,"",VLOOKUP(A15,'Species List'!$A:$G,2,FALSE))</f>
        <v>reed canary grass</v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FACW+</v>
      </c>
      <c r="H15" s="44">
        <f>VLOOKUP(A15,'Species List'!$A:$G,7,FALSE)</f>
        <v>0</v>
      </c>
      <c r="J15" s="124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3.870967741935484E-2</v>
      </c>
      <c r="O15" s="98">
        <f t="shared" si="3"/>
        <v>0</v>
      </c>
    </row>
    <row r="16" spans="1:15" x14ac:dyDescent="0.2">
      <c r="A16" s="122" t="s">
        <v>1872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9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FAC-</v>
      </c>
      <c r="H16" s="44">
        <f>VLOOKUP(A16,'Species List'!$A:$G,7,FALSE)</f>
        <v>0</v>
      </c>
      <c r="J16" s="124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3.870967741935484E-2</v>
      </c>
      <c r="O16" s="98">
        <f t="shared" si="3"/>
        <v>0.11612903225806452</v>
      </c>
    </row>
    <row r="17" spans="1:15" x14ac:dyDescent="0.2">
      <c r="A17" s="122" t="s">
        <v>787</v>
      </c>
      <c r="B17" s="44" t="str">
        <f>IF(LEN(VLOOKUP(A17,'Species List'!$A:$G,2,FALSE))=0,"",VLOOKUP(A17,'Species List'!$A:$G,2,FALSE))</f>
        <v>Kalm's brome</v>
      </c>
      <c r="C17" s="44">
        <f>IF(LEN(VLOOKUP(A17,'Species List'!$A:$G,3,FALSE))=0,"",VLOOKUP(A17,'Species List'!$A:$G,3,FALSE))</f>
        <v>7</v>
      </c>
      <c r="D17" s="99">
        <f t="shared" si="0"/>
        <v>7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4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3.870967741935484E-2</v>
      </c>
      <c r="O17" s="98">
        <f t="shared" si="3"/>
        <v>0.2709677419354839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77.5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13</v>
      </c>
      <c r="C4" s="102">
        <f>COUNTIF(Forbs!$F$12:$F$150,"Native")</f>
        <v>25</v>
      </c>
      <c r="D4" s="102">
        <f>COUNTIF(Grasses!$F$12:$F$151,"Native")</f>
        <v>5</v>
      </c>
      <c r="E4" s="102">
        <f>AVERAGE(B4:D4)</f>
        <v>14.333333333333334</v>
      </c>
      <c r="F4" s="102">
        <f>SUM(B4:D4)</f>
        <v>43</v>
      </c>
    </row>
    <row r="5" spans="1:6" ht="18" x14ac:dyDescent="0.25">
      <c r="A5" s="53" t="s">
        <v>4842</v>
      </c>
      <c r="B5" s="102">
        <f>COUNTIF(Woody!$F12:$F201,"Introduced")</f>
        <v>3</v>
      </c>
      <c r="C5" s="102">
        <f>COUNTIF(Forbs!$F12:$F201,"Introduced")</f>
        <v>3</v>
      </c>
      <c r="D5" s="102">
        <f>COUNTIF(Grasses!$F12:$F201,"Introduced")</f>
        <v>1</v>
      </c>
      <c r="E5" s="102">
        <f t="shared" ref="E5:E6" si="0">AVERAGE(B5:D5)</f>
        <v>2.3333333333333335</v>
      </c>
      <c r="F5" s="102">
        <f>SUM(B5:D5)</f>
        <v>7</v>
      </c>
    </row>
    <row r="6" spans="1:6" s="81" customFormat="1" ht="21" x14ac:dyDescent="0.35">
      <c r="A6" s="53" t="s">
        <v>5411</v>
      </c>
      <c r="B6" s="102">
        <f>SUM(B4:B5)</f>
        <v>16</v>
      </c>
      <c r="C6" s="102">
        <f>SUM(C4:C5)</f>
        <v>28</v>
      </c>
      <c r="D6" s="102">
        <f>SUM(D4:D5)</f>
        <v>6</v>
      </c>
      <c r="E6" s="102">
        <f t="shared" si="0"/>
        <v>16.666666666666668</v>
      </c>
      <c r="F6" s="102">
        <f>SUM(B6:D6)</f>
        <v>50</v>
      </c>
    </row>
    <row r="7" spans="1:6" ht="18" x14ac:dyDescent="0.25">
      <c r="A7" s="53" t="s">
        <v>4843</v>
      </c>
      <c r="B7" s="102">
        <f>AVERAGEIF(Woody!D12:D152,"&gt;0")</f>
        <v>3.0769230769230771</v>
      </c>
      <c r="C7" s="102">
        <f>AVERAGEIF(Forbs!D12:D152,"&gt;0")</f>
        <v>3.4583333333333335</v>
      </c>
      <c r="D7" s="102">
        <f>AVERAGEIF(Grasses!D12:D152,"&gt;0")</f>
        <v>4.5999999999999996</v>
      </c>
      <c r="E7" s="102">
        <f>AVERAGE(B7:D7)</f>
        <v>3.7117521367521369</v>
      </c>
      <c r="F7" s="102">
        <f>(SUMIF(Woody!D12:D152,"&gt;0")+SUMIF(Forbs!D12:D152,"&gt;0")+SUMIF(Grasses!D12:D152,"&gt;0"))/(COUNTIF(Woody!D12:D152,"&gt;0")+COUNTIF(Forbs!D12:D152,"&gt;0")+COUNTIF(Grasses!D12:D152,"&gt;0"))</f>
        <v>3.4761904761904763</v>
      </c>
    </row>
    <row r="8" spans="1:6" s="31" customFormat="1" ht="21" x14ac:dyDescent="0.35">
      <c r="A8" s="53" t="s">
        <v>5412</v>
      </c>
      <c r="B8" s="102">
        <f>AVERAGEIF(Woody!D12:D152,"&gt;=0")</f>
        <v>2.5</v>
      </c>
      <c r="C8" s="102">
        <f>AVERAGEIF(Forbs!D12:D152,"&gt;=0")</f>
        <v>2.9642857142857144</v>
      </c>
      <c r="D8" s="102">
        <f>AVERAGEIF(Grasses!D12:D152,"&gt;=0")</f>
        <v>3.8333333333333335</v>
      </c>
      <c r="E8" s="102">
        <f>AVERAGE(B8:D8)</f>
        <v>3.0992063492063493</v>
      </c>
      <c r="F8" s="102">
        <f>(SUMIF(Woody!D12:D152,"&gt;=0")+SUMIF(Forbs!D12:D152,"&gt;=0")+SUMIF(Grasses!D12:D152,"&gt;=0"))/(COUNTIF(Woody!D12:D152,"&gt;=0")+COUNTIF(Forbs!D12:D152,"&gt;=0")+COUNTIF(Grasses!D12:D152,"&gt;=0"))</f>
        <v>2.92</v>
      </c>
    </row>
    <row r="9" spans="1:6" ht="18" x14ac:dyDescent="0.25">
      <c r="A9" s="53" t="s">
        <v>4836</v>
      </c>
      <c r="B9" s="102">
        <f>SQRT(B4)*B7</f>
        <v>11.094003924504582</v>
      </c>
      <c r="C9" s="102">
        <f>SQRT(C4)*C7</f>
        <v>17.291666666666668</v>
      </c>
      <c r="D9" s="102">
        <f>SQRT(D4)*D7</f>
        <v>10.285912696499032</v>
      </c>
      <c r="E9" s="102">
        <f>SQRT(E4)*E7</f>
        <v>14.052466791295807</v>
      </c>
      <c r="F9" s="102">
        <f>SQRT(F4)*F7</f>
        <v>22.794905346383146</v>
      </c>
    </row>
    <row r="10" spans="1:6" s="82" customFormat="1" ht="21" x14ac:dyDescent="0.35">
      <c r="A10" s="53" t="s">
        <v>5413</v>
      </c>
      <c r="B10" s="102">
        <f>SQRT(B6)*B8</f>
        <v>10</v>
      </c>
      <c r="C10" s="102">
        <f>SQRT(C6)*C8</f>
        <v>15.685525629882932</v>
      </c>
      <c r="D10" s="102">
        <f>SQRT(D6)*D8</f>
        <v>9.3897106806688484</v>
      </c>
      <c r="E10" s="102">
        <f>SQRT(E6)*E8</f>
        <v>12.652456938582421</v>
      </c>
      <c r="F10" s="102">
        <f>SQRT(F6)*F8</f>
        <v>20.64751801064719</v>
      </c>
    </row>
    <row r="11" spans="1:6" ht="18" x14ac:dyDescent="0.25">
      <c r="A11" s="53" t="s">
        <v>4844</v>
      </c>
      <c r="B11" s="102">
        <f>SUMIF(Woody!$M$12:$M$152,"&gt;=0")</f>
        <v>103</v>
      </c>
      <c r="C11" s="102">
        <f>SUMIF(Forbs!$M$12:$M$153,"&gt;=0")</f>
        <v>81</v>
      </c>
      <c r="D11" s="102">
        <f>SUMIF(Grasses!$M$12:$M$152,"&gt;=0")</f>
        <v>77.5</v>
      </c>
      <c r="E11" s="102">
        <f>AVERAGE(B11:D11)</f>
        <v>87.166666666666671</v>
      </c>
      <c r="F11" s="102">
        <f>SUM(B11:D11)</f>
        <v>261.5</v>
      </c>
    </row>
    <row r="12" spans="1:6" ht="18" x14ac:dyDescent="0.25">
      <c r="A12" s="53" t="s">
        <v>5377</v>
      </c>
      <c r="B12" s="102">
        <f>SUMIF(Woody!$F$12:$F$152,"Introduced",Woody!$L$12:$L$152)</f>
        <v>30.5</v>
      </c>
      <c r="C12" s="102">
        <f>SUMIF(Forbs!$F$12:$F$153,"Introduced",Forbs!$L$12:$L$153)</f>
        <v>6.5</v>
      </c>
      <c r="D12" s="102">
        <f>SUMIF(Grasses!$F$12:$F$152,"Introduced",Grasses!$L$12:$L$152)</f>
        <v>3</v>
      </c>
      <c r="E12" s="102">
        <f>AVERAGE(B12:D12)</f>
        <v>13.333333333333334</v>
      </c>
      <c r="F12" s="102">
        <f>SUM(B12:D12)</f>
        <v>40</v>
      </c>
    </row>
    <row r="13" spans="1:6" ht="18.75" thickBot="1" x14ac:dyDescent="0.3">
      <c r="A13" s="54" t="s">
        <v>4845</v>
      </c>
      <c r="B13" s="103">
        <f>B12/B11</f>
        <v>0.29611650485436891</v>
      </c>
      <c r="C13" s="103">
        <f>C12/C11</f>
        <v>8.0246913580246909E-2</v>
      </c>
      <c r="D13" s="103">
        <f>D12/D11</f>
        <v>3.870967741935484E-2</v>
      </c>
      <c r="E13" s="103">
        <f>E12/E11</f>
        <v>0.15296367112810708</v>
      </c>
      <c r="F13" s="103">
        <f>F12/F11</f>
        <v>0.15296367112810708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2.7233009708737863</v>
      </c>
      <c r="C15" s="101">
        <f>SUMIF(Forbs!$O$12:$O$152,"&gt;=0")</f>
        <v>3.5</v>
      </c>
      <c r="D15" s="101">
        <f>SUMIF(Grasses!$O$12:$O$152,"&gt;=0")</f>
        <v>3.193548387096774</v>
      </c>
      <c r="E15" s="101">
        <f>AVERAGE(B15:D15)</f>
        <v>3.1389497859901869</v>
      </c>
      <c r="F15" s="102">
        <f>SUM(B15:D15)</f>
        <v>9.4168493579705608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2023-01-27T17:15:02Z</dcterms:modified>
</cp:coreProperties>
</file>