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13_ncr:1_{5D48E93C-8EA0-41AF-A5ED-8F04DA0F17A4}" xr6:coauthVersionLast="45" xr6:coauthVersionMax="45" xr10:uidLastSave="{00000000-0000-0000-0000-000000000000}"/>
  <bookViews>
    <workbookView xWindow="-120" yWindow="-120" windowWidth="19440" windowHeight="15000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D18" i="10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B14" i="6"/>
  <c r="D14" i="6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<sst xmlns="http://schemas.openxmlformats.org/spreadsheetml/2006/main" count="13167" uniqueCount="5451">
  <si>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</si>
  <si>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</si>
  <si>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</si>
  <si>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</si>
  <si>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</si>
  <si>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</si>
  <si>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</si>
  <si>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</si>
  <si>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</si>
  <si>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</si>
  <si>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</si>
  <si>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</si>
  <si>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</si>
  <si>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</si>
  <si>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</si>
  <si>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</si>
  <si>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</si>
  <si>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</si>
  <si>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</si>
  <si>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</si>
  <si>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</si>
  <si>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</si>
  <si>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</si>
  <si>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</si>
  <si>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</si>
  <si>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</si>
  <si>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</si>
  <si>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</si>
  <si>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</si>
  <si>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</si>
  <si>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</si>
  <si>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</si>
  <si>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</si>
  <si>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</si>
  <si>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</si>
  <si>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</si>
  <si>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</si>
  <si>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</si>
  <si>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</si>
  <si>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</si>
  <si>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</si>
  <si>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</si>
  <si>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</si>
  <si>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</si>
  <si>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</si>
  <si>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</si>
  <si>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</si>
  <si>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</si>
  <si>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</si>
  <si>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</si>
  <si>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</si>
  <si>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</si>
  <si>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</si>
  <si>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</si>
  <si>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</si>
  <si>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</si>
  <si>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</si>
  <si>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</si>
  <si>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</si>
  <si>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</si>
  <si>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</si>
  <si>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</si>
  <si>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</si>
  <si>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</si>
  <si>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</si>
  <si>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</si>
  <si>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</si>
  <si>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</si>
  <si>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</si>
  <si>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</si>
  <si>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</si>
  <si>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</si>
  <si>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</si>
  <si>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</si>
  <si>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</si>
  <si>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</si>
  <si>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</si>
  <si>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</si>
  <si>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</si>
  <si>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</si>
  <si>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</si>
  <si>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</si>
  <si>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</si>
  <si>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</si>
  <si>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</si>
  <si>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</si>
  <si>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</si>
  <si>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</si>
  <si>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</si>
  <si>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</si>
  <si>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</si>
  <si>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</si>
  <si>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</si>
  <si>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</si>
  <si>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</si>
  <si>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</si>
  <si>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</si>
  <si>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</si>
  <si>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</si>
  <si>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</si>
  <si>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</si>
  <si>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</si>
  <si>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</si>
  <si>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</si>
  <si>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</si>
  <si>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</si>
  <si>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</si>
  <si>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</si>
  <si>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</si>
  <si>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</si>
  <si>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</si>
  <si>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</si>
  <si>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</si>
  <si>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</si>
  <si>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</si>
  <si>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</si>
  <si>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</si>
  <si>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</si>
  <si>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</si>
  <si>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</si>
  <si>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</si>
  <si>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</si>
  <si>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</si>
  <si>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</si>
  <si>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</si>
  <si>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</si>
  <si>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</si>
  <si>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</si>
  <si>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</si>
  <si>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</si>
  <si>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</si>
  <si>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</si>
  <si>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</si>
  <si>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</si>
  <si>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</si>
  <si>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</si>
  <si>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</si>
  <si>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</si>
  <si>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</si>
  <si>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</si>
  <si>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</si>
  <si>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</si>
  <si>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</si>
  <si>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</si>
  <si>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</si>
  <si>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</si>
  <si>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</si>
  <si>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</si>
  <si>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</si>
  <si>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</si>
  <si>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</si>
  <si>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</si>
  <si>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</si>
  <si>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</si>
  <si>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</si>
  <si>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</si>
  <si>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</si>
  <si>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</si>
  <si>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</si>
  <si>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</si>
  <si>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</si>
  <si>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</si>
  <si>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</si>
  <si>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</si>
  <si>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</si>
  <si>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</si>
  <si>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</si>
  <si>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</si>
  <si>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</si>
  <si>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</si>
  <si>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</si>
  <si>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</si>
  <si>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</si>
  <si>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</si>
  <si>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</si>
  <si>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</si>
  <si>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</si>
  <si>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</si>
  <si>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</si>
  <si>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</si>
  <si>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</si>
  <si>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</si>
  <si>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</si>
  <si>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</si>
  <si>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</si>
  <si>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</si>
  <si>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</si>
  <si>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</si>
  <si>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</si>
  <si>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</si>
  <si>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</si>
  <si>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</si>
  <si>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</si>
  <si>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</si>
  <si>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</si>
  <si>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</si>
  <si>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</si>
  <si>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</si>
  <si>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</si>
  <si>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</si>
  <si>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</si>
  <si>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</si>
  <si>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</si>
  <si>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</si>
  <si>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</si>
  <si>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</si>
  <si>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</si>
  <si>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</si>
  <si>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</si>
  <si>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</si>
  <si>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</si>
  <si>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</si>
  <si>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</si>
  <si>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</si>
  <si>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</si>
  <si>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</si>
  <si>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</si>
  <si>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</si>
  <si>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</si>
  <si>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</si>
  <si>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</si>
  <si>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</si>
  <si>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</si>
  <si>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</si>
  <si>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</si>
  <si>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</si>
  <si>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</si>
  <si>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</si>
  <si>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</si>
  <si>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</si>
  <si>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</si>
  <si>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</si>
  <si>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</si>
  <si>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</si>
  <si>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</si>
  <si>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</si>
  <si>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</si>
  <si>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</si>
  <si>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</si>
  <si>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</si>
  <si>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</si>
  <si>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</si>
  <si>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</si>
  <si>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</si>
  <si>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</si>
  <si>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</si>
  <si>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</si>
  <si>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</si>
  <si>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</si>
  <si>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</si>
  <si>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</si>
  <si>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</si>
  <si>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</si>
  <si>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</si>
  <si>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</si>
  <si>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</si>
  <si>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</si>
  <si>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</si>
  <si>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</si>
  <si>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</si>
  <si>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</si>
  <si>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</si>
  <si>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</si>
  <si>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</si>
  <si>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</si>
  <si>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</si>
  <si>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</si>
  <si>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</si>
  <si>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</si>
  <si>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</si>
  <si>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</si>
  <si>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</si>
  <si>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</si>
  <si>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</si>
  <si>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</si>
  <si>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</si>
  <si>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</si>
  <si>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</si>
  <si>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</si>
  <si>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</si>
  <si>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</si>
  <si>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</si>
  <si>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</si>
  <si>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</si>
  <si>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</si>
  <si>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</si>
  <si>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</si>
  <si>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</si>
  <si>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</si>
  <si>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</si>
  <si>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</si>
  <si>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</si>
  <si>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</si>
  <si>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</si>
  <si>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</si>
  <si>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</si>
  <si>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</si>
  <si>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</si>
  <si>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</si>
  <si>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</si>
  <si>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</si>
  <si>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</si>
  <si>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</si>
  <si>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</si>
  <si>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</si>
  <si>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</si>
  <si>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</si>
  <si>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</si>
  <si>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</si>
  <si>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</si>
  <si>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</si>
  <si>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</si>
  <si>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</si>
  <si>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</si>
  <si>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</si>
  <si>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</si>
  <si>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</si>
  <si>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</si>
  <si>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</si>
  <si>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</si>
  <si>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</si>
  <si>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</si>
  <si>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</si>
  <si>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</si>
  <si>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</si>
  <si>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</si>
  <si>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</si>
  <si>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</si>
  <si>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</si>
  <si>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</si>
  <si>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</si>
  <si>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</si>
  <si>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</si>
  <si>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</si>
  <si>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</si>
  <si>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</si>
  <si>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</si>
  <si>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</si>
  <si>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</si>
  <si>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</si>
  <si>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</si>
  <si>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</si>
  <si>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</si>
  <si>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</si>
  <si>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</si>
  <si>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</si>
  <si>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</si>
  <si>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</si>
  <si>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</si>
  <si>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</si>
  <si>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</si>
  <si>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</si>
  <si>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</si>
  <si>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</si>
  <si>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</si>
  <si>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</si>
  <si>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</si>
  <si>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</si>
  <si>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</si>
  <si>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</si>
  <si>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</si>
  <si>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</si>
  <si>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</si>
  <si>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</si>
  <si>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</si>
  <si>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</si>
  <si>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</si>
  <si>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</si>
  <si>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</si>
  <si>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</si>
  <si>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</si>
  <si>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</si>
  <si>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</si>
  <si>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</si>
  <si>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</si>
  <si>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</si>
  <si>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</si>
  <si>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</si>
  <si>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</si>
  <si>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</si>
  <si>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</si>
  <si>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</si>
  <si>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</si>
  <si>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</si>
  <si>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</si>
  <si>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</si>
  <si>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</si>
  <si>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</si>
  <si>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</si>
  <si>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</si>
  <si>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</si>
  <si>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</si>
  <si>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</si>
  <si>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</si>
  <si>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</si>
  <si>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</si>
  <si>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</si>
  <si>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</si>
  <si>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</si>
  <si>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</si>
  <si>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</si>
  <si>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</si>
  <si>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</si>
  <si>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</si>
  <si>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</si>
  <si>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</si>
  <si>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</si>
  <si>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</si>
  <si>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</si>
  <si>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</si>
  <si>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</si>
  <si>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</si>
  <si>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</si>
  <si>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</si>
  <si>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</si>
  <si>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</si>
  <si>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</si>
  <si>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</si>
  <si>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</si>
  <si>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</si>
  <si>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</si>
  <si>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</si>
  <si>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</si>
  <si>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</si>
  <si>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</si>
  <si>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</si>
  <si>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</si>
  <si>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</si>
  <si>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</si>
  <si>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</si>
  <si>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</si>
  <si>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</si>
  <si>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</si>
  <si>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</si>
  <si>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</si>
  <si>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</si>
  <si>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</si>
  <si>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</si>
  <si>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</si>
  <si>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</si>
  <si>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</si>
  <si>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</si>
  <si>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</si>
  <si>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</si>
  <si>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</si>
  <si>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</si>
  <si>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</si>
  <si>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</si>
  <si>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</si>
  <si>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</si>
  <si>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</si>
  <si>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</si>
  <si>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</si>
  <si>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</si>
  <si>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</si>
  <si>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</si>
  <si>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</si>
  <si>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</si>
  <si>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</si>
  <si>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</si>
  <si>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</si>
  <si>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</si>
  <si>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</si>
  <si>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</si>
  <si>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</si>
  <si>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</si>
  <si>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</si>
  <si>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</si>
  <si>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</si>
  <si>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</si>
  <si>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</si>
  <si>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</si>
  <si>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</si>
  <si>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</si>
  <si>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</si>
  <si>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</si>
  <si>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</si>
  <si>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</si>
  <si>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</si>
  <si>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</si>
  <si>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</si>
  <si>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</si>
  <si>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</si>
  <si>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</si>
  <si>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</si>
  <si>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</si>
  <si>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</si>
  <si>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</si>
  <si>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</si>
  <si>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</si>
  <si>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</si>
  <si>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</si>
  <si>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</si>
  <si>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</si>
  <si>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</si>
  <si>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</si>
  <si>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</si>
  <si>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</si>
  <si>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</si>
  <si>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</si>
  <si>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</si>
  <si>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</si>
  <si>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</si>
  <si>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</si>
  <si>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</si>
  <si>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</si>
  <si>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</si>
  <si>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</si>
  <si>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</si>
  <si>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</si>
  <si>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</si>
  <si>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</si>
  <si>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</si>
  <si>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</si>
  <si>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</si>
  <si>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</si>
  <si>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</si>
  <si>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</si>
  <si>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</si>
  <si>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</si>
  <si>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</si>
  <si>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</si>
  <si>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</si>
  <si>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</si>
  <si>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</si>
  <si>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</si>
  <si>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</si>
  <si>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</si>
  <si>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</si>
  <si>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</si>
  <si>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</si>
  <si>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</si>
  <si>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</si>
  <si>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</si>
  <si>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</si>
  <si>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</si>
  <si>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</si>
  <si>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</si>
  <si>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</si>
  <si>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</si>
  <si>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</si>
  <si>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</si>
  <si>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</si>
  <si>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</si>
  <si>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</si>
  <si>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</si>
  <si>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</si>
  <si>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</si>
  <si>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</si>
  <si>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</si>
  <si>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</si>
  <si>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</si>
  <si>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</si>
  <si>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</si>
  <si>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</si>
  <si>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</si>
  <si>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</si>
  <si>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</si>
  <si>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</si>
  <si>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</si>
  <si>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</si>
  <si>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</si>
  <si>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</si>
  <si>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</si>
  <si>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</si>
  <si>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</si>
  <si>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</si>
  <si>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</si>
  <si>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</si>
  <si>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</si>
  <si>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</si>
  <si>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</si>
  <si>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</si>
  <si>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</si>
  <si>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</si>
  <si>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</si>
  <si>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</si>
  <si>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</si>
  <si>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</si>
  <si>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</si>
  <si>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</si>
  <si>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</si>
  <si>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</si>
  <si>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</si>
  <si>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</si>
  <si>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</si>
  <si>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</si>
  <si>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</si>
  <si>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</si>
  <si>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</si>
  <si>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</si>
  <si>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</si>
  <si>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</si>
  <si>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</si>
  <si>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</si>
  <si>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</si>
  <si>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</si>
  <si>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</si>
  <si>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</si>
  <si>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</si>
  <si>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</si>
  <si>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</si>
  <si>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</si>
  <si>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</si>
  <si>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</si>
  <si>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</si>
  <si>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</si>
  <si>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</si>
  <si>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</si>
  <si>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</si>
  <si>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</si>
  <si>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</si>
  <si>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</si>
  <si>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</si>
  <si>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</si>
  <si>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</si>
  <si>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</si>
  <si>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</si>
  <si>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</si>
  <si>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</si>
  <si>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</si>
  <si>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</si>
  <si>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</si>
  <si>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</si>
  <si>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</si>
  <si>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</si>
  <si>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</si>
  <si>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</si>
  <si>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</si>
  <si>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</si>
  <si>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</si>
  <si>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</si>
  <si>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</si>
  <si>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</si>
  <si>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</si>
  <si>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</si>
  <si>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</si>
  <si>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</si>
  <si>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</si>
  <si>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</si>
  <si>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</si>
  <si>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</si>
  <si>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</si>
  <si>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</si>
  <si>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</si>
  <si>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</si>
  <si>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</si>
  <si>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</si>
  <si>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</si>
  <si>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</si>
  <si>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</si>
  <si>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</si>
  <si>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</si>
  <si>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</si>
  <si>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</si>
  <si>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</si>
  <si>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</si>
  <si>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</si>
  <si>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</si>
  <si>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</si>
  <si>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</si>
  <si>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</si>
  <si>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</si>
  <si>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</si>
  <si>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</si>
  <si>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</si>
  <si>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</si>
  <si>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</si>
  <si>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</si>
  <si>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</si>
  <si>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</si>
  <si>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</si>
  <si>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</si>
  <si>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</si>
  <si>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</si>
  <si>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</si>
  <si>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</si>
  <si>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</si>
  <si>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</si>
  <si>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</si>
  <si>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</si>
  <si>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</si>
  <si>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</si>
  <si>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</si>
  <si>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</si>
  <si>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</si>
  <si>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</si>
  <si>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</si>
  <si>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</si>
  <si>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</si>
  <si>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</si>
  <si>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</si>
  <si>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</si>
  <si>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</si>
  <si>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</si>
  <si>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</si>
  <si>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</si>
  <si>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</si>
  <si>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</si>
  <si>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</si>
  <si>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</si>
  <si>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</si>
  <si>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</si>
  <si>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</si>
  <si>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</si>
  <si>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</si>
  <si>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</si>
  <si>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</si>
  <si>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</si>
  <si>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</si>
  <si>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</si>
  <si>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</si>
  <si>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</si>
  <si>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</si>
  <si>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</si>
  <si>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</si>
  <si>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</si>
  <si>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</si>
  <si>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</si>
  <si>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</si>
  <si>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</si>
  <si>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</si>
  <si>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</si>
  <si>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</si>
  <si>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</si>
  <si>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</si>
  <si>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</si>
  <si>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</si>
  <si>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</si>
  <si>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</si>
  <si>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</si>
  <si>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</si>
  <si>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</si>
  <si>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</si>
  <si>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</si>
  <si>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</si>
  <si>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</si>
  <si>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</si>
  <si>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</si>
  <si>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</si>
  <si>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</si>
  <si>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</si>
  <si>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</si>
  <si>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</si>
  <si>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</si>
  <si>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</si>
  <si>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</si>
  <si>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</si>
  <si>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</si>
  <si>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</si>
  <si>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</si>
  <si>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</si>
  <si>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</si>
  <si>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</si>
  <si>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</si>
  <si>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</si>
  <si>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</si>
  <si>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</si>
  <si>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</si>
  <si>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</si>
  <si>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</si>
  <si>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</si>
  <si>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</si>
  <si>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</si>
  <si>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</si>
  <si>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</si>
  <si>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</si>
  <si>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</si>
  <si>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</si>
  <si>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</si>
  <si>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</si>
  <si>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</si>
  <si>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</si>
  <si>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</si>
  <si>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</si>
  <si>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</si>
  <si>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</si>
  <si>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</si>
  <si>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</si>
  <si>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</si>
  <si>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</si>
  <si>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</si>
  <si>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</si>
  <si>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</si>
  <si>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</si>
  <si>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</si>
  <si>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</si>
  <si>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</si>
  <si>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</si>
  <si>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</si>
  <si>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</si>
  <si>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</si>
  <si>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</si>
  <si>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</si>
  <si>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</si>
  <si>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</si>
  <si>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</si>
  <si>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</si>
  <si>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</si>
  <si>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</si>
  <si>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</si>
  <si>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</si>
  <si>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</si>
  <si>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</si>
  <si>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</si>
  <si>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</si>
  <si>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</si>
  <si>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</si>
  <si>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</si>
  <si>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</si>
  <si>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</si>
  <si>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</si>
  <si>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</si>
  <si>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</si>
  <si>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</si>
  <si>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</si>
  <si>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</si>
  <si>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</si>
  <si>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</si>
  <si>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</si>
  <si>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</si>
  <si>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</si>
  <si>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</si>
  <si>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</si>
  <si>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</si>
  <si>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</si>
  <si>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</si>
  <si>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</si>
  <si>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</si>
  <si>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</si>
  <si>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</si>
  <si>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</si>
  <si>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</si>
  <si>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</si>
  <si>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</si>
  <si>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</si>
  <si>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</si>
  <si>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</si>
  <si>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</si>
  <si>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</si>
  <si>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</si>
  <si>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</si>
  <si>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</si>
  <si>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</si>
  <si>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</si>
  <si>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</si>
  <si>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</si>
  <si>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</si>
  <si>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</si>
  <si>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</si>
  <si>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</si>
  <si>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</si>
  <si>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</si>
  <si>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</si>
  <si>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</si>
  <si>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</si>
  <si>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</si>
  <si>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</si>
  <si>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</si>
  <si>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</si>
  <si>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</si>
  <si>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</si>
  <si>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</si>
  <si>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</si>
  <si>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</si>
  <si>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</si>
  <si>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</si>
  <si>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</si>
  <si>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</si>
  <si>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</si>
  <si>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</si>
  <si>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</si>
  <si>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</si>
  <si>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</si>
  <si>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</si>
  <si>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</si>
  <si>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</si>
  <si>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</si>
  <si>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</si>
  <si>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</si>
  <si>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</si>
  <si>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</si>
  <si>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</si>
  <si>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</si>
  <si>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</si>
  <si>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</si>
  <si>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</si>
  <si>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</si>
  <si>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</si>
  <si>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</si>
  <si>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</si>
  <si>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</si>
  <si>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</si>
  <si>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</si>
  <si>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</si>
  <si>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</si>
  <si>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</si>
  <si>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</si>
  <si>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</si>
  <si>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</si>
  <si>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</si>
  <si>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</si>
  <si>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</si>
  <si>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</si>
  <si>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</si>
  <si>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</si>
  <si>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</si>
  <si>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</si>
  <si>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</si>
  <si>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</si>
  <si>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</si>
  <si>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</si>
  <si>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</si>
  <si>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</si>
  <si>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</si>
  <si>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</si>
  <si>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</si>
  <si>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</si>
  <si>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</si>
  <si>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</si>
  <si>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</si>
  <si>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</si>
  <si>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</si>
  <si>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</si>
  <si>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</si>
  <si>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</si>
  <si>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</si>
  <si>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</si>
  <si>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</si>
  <si>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</si>
  <si>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</si>
  <si>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</si>
  <si>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</si>
  <si>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</si>
  <si>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</si>
  <si>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</si>
  <si>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</si>
  <si>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</si>
  <si>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</si>
  <si>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</si>
  <si>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</si>
  <si>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</si>
  <si>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</si>
  <si>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</si>
  <si>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</si>
  <si>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</si>
  <si>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</si>
  <si>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</si>
  <si>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</si>
  <si>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</si>
  <si>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</si>
  <si>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</si>
  <si>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</si>
  <si>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</si>
  <si>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</si>
  <si>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</si>
  <si>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</si>
  <si>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</si>
  <si>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</si>
  <si>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</si>
  <si>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</si>
  <si>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</si>
  <si>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</si>
  <si>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</si>
  <si>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</si>
  <si>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</si>
  <si>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</si>
  <si>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</si>
  <si>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</si>
  <si>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</si>
  <si>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</si>
  <si>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</si>
  <si>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</si>
  <si>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</si>
  <si>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</si>
  <si>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</si>
  <si>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</si>
  <si>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</si>
  <si>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</si>
  <si>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</si>
  <si>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</si>
  <si>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</si>
  <si>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</si>
  <si>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</si>
  <si>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</si>
  <si>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</si>
  <si>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</si>
  <si>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</si>
  <si>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</si>
  <si>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</si>
  <si>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</si>
  <si>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</si>
  <si>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</si>
  <si>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</si>
  <si>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</si>
  <si>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</si>
  <si>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</si>
  <si>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</si>
  <si>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</si>
  <si>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</si>
  <si>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</si>
  <si>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</si>
  <si>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</si>
  <si>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</si>
  <si>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</si>
  <si>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</si>
  <si>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</si>
  <si>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</si>
  <si>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</si>
  <si>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</si>
  <si>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</si>
  <si>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</si>
  <si>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</si>
  <si>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</si>
  <si>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</si>
  <si>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</si>
  <si>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</si>
  <si>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</si>
  <si>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</si>
  <si>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</si>
  <si>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</si>
  <si>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</si>
  <si>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</si>
  <si>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</si>
  <si>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</si>
  <si>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</si>
  <si>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</si>
  <si>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</si>
  <si>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</si>
  <si>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</si>
  <si>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</si>
  <si>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</si>
  <si>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</si>
  <si>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</si>
  <si>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</si>
  <si>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</si>
  <si>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</si>
  <si>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</si>
  <si>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</si>
  <si>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</si>
  <si>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</si>
  <si>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</si>
  <si>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</si>
  <si>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</si>
  <si>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</si>
  <si>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</si>
  <si>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</si>
  <si>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</si>
  <si>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</si>
  <si>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</si>
  <si>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</si>
  <si>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</si>
  <si>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</si>
  <si>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</si>
  <si>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</si>
  <si>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</si>
  <si>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</si>
  <si>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</si>
  <si>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</si>
  <si>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</si>
  <si>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</si>
  <si>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</si>
  <si>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</si>
  <si>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</si>
  <si>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</si>
  <si>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</si>
  <si>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</si>
  <si>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</si>
  <si>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</si>
  <si>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</si>
  <si>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</si>
  <si>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</si>
  <si>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</si>
  <si>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</si>
  <si>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</si>
  <si>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</si>
  <si>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</si>
  <si>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</si>
  <si>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</si>
  <si>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</si>
  <si>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</si>
  <si>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</si>
  <si>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</si>
  <si>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</si>
  <si>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</si>
  <si>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</si>
  <si>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</si>
  <si>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</si>
  <si>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</si>
  <si>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</si>
  <si>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</si>
  <si>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</si>
  <si>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</si>
  <si>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</si>
  <si>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</si>
  <si>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</si>
  <si>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</si>
  <si>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</si>
  <si>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</si>
  <si>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</si>
  <si>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</si>
  <si>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</si>
  <si>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</si>
  <si>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</si>
  <si>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</si>
  <si>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</si>
  <si>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</si>
  <si>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</si>
  <si>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</si>
  <si>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</si>
  <si>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</si>
  <si>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</si>
  <si>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</si>
  <si>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</si>
  <si>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</si>
  <si>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</si>
  <si>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</si>
  <si>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</si>
  <si>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</si>
  <si>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</si>
  <si>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</si>
  <si>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</si>
  <si>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</si>
  <si>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</si>
  <si>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</si>
  <si>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</si>
  <si>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</si>
  <si>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</si>
  <si>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</si>
  <si>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</si>
  <si>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</si>
  <si>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</si>
  <si>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</si>
  <si>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</si>
  <si>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</si>
  <si>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</si>
  <si>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</si>
  <si>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</si>
  <si>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</si>
  <si>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</si>
  <si>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</si>
  <si>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</si>
  <si>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</si>
  <si>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</si>
  <si>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</si>
  <si>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</si>
  <si>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</si>
  <si>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</si>
  <si>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</si>
  <si>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</si>
  <si>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</si>
  <si>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</si>
  <si>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</si>
  <si>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</si>
  <si>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</si>
  <si>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</si>
  <si>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</si>
  <si>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</si>
  <si>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</si>
  <si>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</si>
  <si>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</si>
  <si>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</si>
  <si>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</si>
  <si>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</si>
  <si>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</si>
  <si>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</si>
  <si>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</si>
  <si>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</si>
  <si>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</si>
  <si>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</si>
  <si>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</si>
  <si>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</si>
  <si>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</si>
  <si>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</si>
  <si>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</si>
  <si>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</si>
  <si>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</si>
  <si>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</si>
  <si>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</si>
  <si>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</si>
  <si>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</si>
  <si>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</si>
  <si>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</si>
  <si>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</si>
  <si>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</si>
  <si>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</si>
  <si>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</si>
  <si>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</si>
  <si>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</si>
  <si>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</si>
  <si>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</si>
  <si>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</si>
  <si>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</si>
  <si>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</si>
  <si>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</si>
  <si>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</si>
  <si>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</si>
  <si>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</si>
  <si>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</si>
  <si>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</si>
  <si>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</si>
  <si>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</si>
  <si>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</si>
  <si>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</si>
  <si>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</si>
  <si>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</si>
  <si>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</si>
  <si>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</si>
  <si>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</si>
  <si>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</si>
  <si>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</si>
  <si>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</si>
  <si>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</si>
  <si>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</si>
  <si>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</si>
  <si>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</si>
  <si>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</si>
  <si>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</si>
  <si>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</si>
  <si>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</si>
  <si>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</si>
  <si>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</si>
  <si>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</si>
  <si>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</si>
  <si>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</si>
  <si>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</si>
  <si>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</si>
  <si>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</si>
  <si>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</si>
  <si>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</si>
  <si>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</si>
  <si>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</si>
  <si>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</si>
  <si>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</si>
  <si>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</si>
  <si>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</si>
  <si>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</si>
  <si>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</si>
  <si>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</si>
  <si>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</si>
  <si>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</si>
  <si>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</si>
  <si>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</si>
  <si>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</si>
  <si>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</si>
  <si>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</si>
  <si>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</si>
  <si>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</si>
  <si>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</si>
  <si>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</si>
  <si>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</si>
  <si>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</si>
  <si>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</si>
  <si>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</si>
  <si>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</si>
  <si>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</si>
  <si>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</si>
  <si>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</si>
  <si>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</si>
  <si>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</si>
  <si>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</si>
  <si>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</si>
  <si>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</si>
  <si>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</si>
  <si>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</si>
  <si>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</si>
  <si>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</si>
  <si>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</si>
  <si>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</si>
  <si>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</si>
  <si>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</si>
  <si>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</si>
  <si>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</si>
  <si>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</si>
  <si>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</si>
  <si>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</si>
  <si>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</si>
  <si>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</si>
  <si>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</si>
  <si>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</si>
  <si>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</si>
  <si>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</si>
  <si>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</si>
  <si>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</si>
  <si>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</si>
  <si>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</si>
  <si>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</si>
  <si>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</si>
  <si>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</si>
  <si>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</si>
  <si>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</si>
  <si>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</si>
  <si>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</si>
  <si>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</si>
  <si>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</si>
  <si>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</si>
  <si>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</si>
  <si>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</si>
  <si>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</si>
  <si>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</si>
  <si>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</si>
  <si>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</si>
  <si>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</si>
  <si>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</si>
  <si>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</si>
  <si>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</si>
  <si>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</si>
  <si>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</si>
  <si>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</si>
  <si>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</si>
  <si>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</si>
  <si>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</si>
  <si>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</si>
  <si>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</si>
  <si>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</si>
  <si>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</si>
  <si>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</si>
  <si>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</si>
  <si>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</si>
  <si>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</si>
  <si>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</si>
  <si>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</si>
  <si>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</si>
  <si>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</si>
  <si>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</si>
  <si>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</si>
  <si>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</si>
  <si>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</si>
  <si>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</si>
  <si>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</si>
  <si>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</si>
  <si>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</si>
  <si>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</si>
  <si>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</si>
  <si>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</si>
  <si>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</si>
  <si>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</si>
  <si>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</si>
  <si>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</si>
  <si>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</si>
  <si>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</si>
  <si>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</si>
  <si>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</si>
  <si>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</si>
  <si>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</si>
  <si>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</si>
  <si>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</si>
  <si>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</si>
  <si>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</si>
  <si>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</si>
  <si>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</si>
  <si>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</si>
  <si>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</si>
  <si>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</si>
  <si>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</si>
  <si>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</si>
  <si>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</si>
  <si>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</si>
  <si>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</si>
  <si>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</si>
  <si>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</si>
  <si>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</si>
  <si>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</si>
  <si>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</si>
  <si>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</si>
  <si>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</si>
  <si>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</si>
  <si>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</si>
  <si>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</si>
  <si>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</si>
  <si>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</si>
  <si>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</si>
  <si>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</si>
  <si>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</si>
  <si>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</si>
  <si>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</si>
  <si>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</si>
  <si>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</si>
  <si>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</si>
  <si>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</si>
  <si>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</si>
  <si>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</si>
  <si>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</si>
  <si>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</si>
  <si>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</si>
  <si>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</si>
  <si>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</si>
  <si>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</si>
  <si>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</si>
  <si>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</si>
  <si>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</si>
  <si>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</si>
  <si>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</si>
  <si>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</si>
  <si>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</si>
  <si>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</si>
  <si>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</si>
  <si>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</si>
  <si>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</si>
  <si>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</si>
  <si>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</si>
  <si>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</si>
  <si>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</si>
  <si>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</si>
  <si>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</si>
  <si>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</si>
  <si>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</si>
  <si>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</si>
  <si>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</si>
  <si>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</si>
  <si>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</si>
  <si>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</si>
  <si>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</si>
  <si>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</si>
  <si>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</si>
  <si>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</si>
  <si>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</si>
  <si>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</si>
  <si>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</si>
  <si>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</si>
  <si>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</si>
  <si>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</si>
  <si>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</si>
  <si>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</si>
  <si>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</si>
  <si>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</si>
  <si>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</si>
  <si>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</si>
  <si>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</si>
  <si>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</si>
  <si>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</si>
  <si>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</si>
  <si>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</si>
  <si>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</si>
  <si>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</si>
  <si>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</si>
  <si>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</si>
  <si>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</si>
  <si>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</si>
  <si>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</si>
  <si>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</si>
  <si>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</si>
  <si>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</si>
  <si>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</si>
  <si>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</si>
  <si>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</si>
  <si>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</si>
  <si>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</si>
  <si>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</si>
  <si>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</si>
  <si>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</si>
  <si>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</si>
  <si>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</si>
  <si>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</si>
  <si>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</si>
  <si>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</si>
  <si>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</si>
  <si>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</si>
  <si>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</si>
  <si>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</si>
  <si>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</si>
  <si>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</si>
  <si>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</si>
  <si>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</si>
  <si>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</si>
  <si>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</si>
  <si>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</si>
  <si>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</si>
  <si>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</si>
  <si>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</si>
  <si>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</si>
  <si>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</si>
  <si>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</si>
  <si>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</si>
  <si>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</si>
  <si>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</si>
  <si>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</si>
  <si>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</si>
  <si>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</si>
  <si>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</si>
  <si>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</si>
  <si>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</si>
  <si>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</si>
  <si>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</si>
  <si>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</si>
  <si>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</si>
  <si>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</si>
  <si>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</si>
  <si>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</si>
  <si>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</si>
  <si>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</si>
  <si>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</si>
  <si>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</si>
  <si>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</si>
  <si>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</si>
  <si>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</si>
  <si>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</si>
  <si>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</si>
  <si>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</si>
  <si>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</si>
  <si>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</si>
  <si>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</si>
  <si>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</si>
  <si>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</si>
  <si>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</si>
  <si>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</si>
  <si>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</si>
  <si>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</si>
  <si>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</si>
  <si>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</si>
  <si>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</si>
  <si>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</si>
  <si>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</si>
  <si>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</si>
  <si>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</si>
  <si>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</si>
  <si>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</si>
  <si>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</si>
  <si>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</si>
  <si>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</si>
  <si>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</si>
  <si>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</si>
  <si>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</si>
  <si>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</si>
  <si>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</si>
  <si>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</si>
  <si>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</si>
  <si>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</si>
  <si>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</si>
  <si>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</si>
  <si>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</si>
  <si>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</si>
  <si>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</si>
  <si>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</si>
  <si>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</si>
  <si>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</si>
  <si>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</si>
  <si>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</si>
  <si>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</si>
  <si>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</si>
  <si>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</si>
  <si>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</si>
  <si>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</si>
  <si>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</si>
  <si>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</si>
  <si>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</si>
  <si>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</si>
  <si>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</si>
  <si>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</si>
  <si>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</si>
  <si>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</si>
  <si>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</si>
  <si>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</si>
  <si>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</si>
  <si>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</si>
  <si>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</si>
  <si>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</si>
  <si>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</si>
  <si>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</si>
  <si>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</si>
  <si>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</si>
  <si>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</si>
  <si>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</si>
  <si>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</si>
  <si>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</si>
  <si>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</si>
  <si>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</si>
  <si>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</si>
  <si>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</si>
  <si>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</si>
  <si>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</si>
  <si>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</si>
  <si>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</si>
  <si>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</si>
  <si>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</si>
  <si>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</si>
  <si>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</si>
  <si>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</si>
  <si>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</si>
  <si>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</si>
  <si>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</si>
  <si>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</si>
  <si>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</si>
  <si>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</si>
  <si>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</si>
  <si>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</si>
  <si>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</si>
  <si>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</si>
  <si>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</si>
  <si>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</si>
  <si>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</si>
  <si>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</si>
  <si>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</si>
  <si>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</si>
  <si>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</si>
  <si>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</si>
  <si>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</si>
  <si>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</si>
  <si>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</si>
  <si>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</si>
  <si>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</si>
  <si>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</si>
  <si>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</si>
  <si>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</si>
  <si>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</si>
  <si>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</si>
  <si>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</si>
  <si>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</si>
  <si>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</si>
  <si>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</si>
  <si>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</si>
  <si>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</si>
  <si>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</si>
  <si>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</si>
  <si>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</si>
  <si>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</si>
  <si>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</si>
  <si>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</si>
  <si>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</si>
  <si>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</si>
  <si>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</si>
  <si>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</si>
  <si>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</si>
  <si>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</si>
  <si>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</si>
  <si>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</si>
  <si>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</si>
  <si>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</si>
  <si>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</si>
  <si>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</si>
  <si>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</si>
  <si>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</si>
  <si>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</si>
  <si>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</si>
  <si>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</si>
  <si>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</si>
  <si>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</si>
  <si>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</si>
  <si>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</si>
  <si>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</si>
  <si>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</si>
  <si>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</si>
  <si>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</si>
  <si>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</si>
  <si>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</si>
  <si>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</si>
  <si>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</si>
  <si>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</si>
  <si>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</si>
  <si>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</si>
  <si>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</si>
  <si>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</si>
  <si>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</si>
  <si>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</si>
  <si>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</si>
  <si>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</si>
  <si>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</si>
  <si>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</si>
  <si>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</si>
  <si>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</si>
  <si>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</si>
  <si>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</si>
  <si>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</si>
  <si>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</si>
  <si>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</si>
  <si>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</si>
  <si>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</si>
  <si>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</si>
  <si>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</si>
  <si>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</si>
  <si>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</si>
  <si>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</si>
  <si>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</si>
  <si>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</si>
  <si>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</si>
  <si>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</si>
  <si>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</si>
  <si>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</si>
  <si>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</si>
  <si>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</si>
  <si>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</si>
  <si>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</si>
  <si>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</si>
  <si>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</si>
  <si>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</si>
  <si>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</si>
  <si>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</si>
  <si>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</si>
  <si>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</si>
  <si>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</si>
  <si>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</si>
  <si>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</si>
  <si>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</si>
  <si>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</si>
  <si>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</si>
  <si>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</si>
  <si>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</si>
  <si>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</si>
  <si>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</si>
  <si>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</si>
  <si>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</si>
  <si>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</si>
  <si>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</si>
  <si>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</si>
  <si>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</si>
  <si>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</si>
  <si>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</si>
  <si>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</si>
  <si>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</si>
  <si>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</si>
  <si>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</si>
  <si>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</si>
  <si>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</si>
  <si>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</si>
  <si>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</si>
  <si>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</si>
  <si>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</si>
  <si>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</si>
  <si>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</si>
  <si>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</si>
  <si>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</si>
  <si>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</si>
  <si>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</si>
  <si>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</si>
  <si>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</si>
  <si>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</si>
  <si>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</si>
  <si>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</si>
  <si>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</si>
  <si>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</si>
  <si>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</si>
  <si>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</si>
  <si>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</si>
  <si>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</si>
  <si>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</si>
  <si>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</si>
  <si>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</si>
  <si>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</si>
  <si>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</si>
  <si>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</si>
  <si>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</si>
  <si>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</si>
  <si>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</si>
  <si>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</si>
  <si>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</si>
  <si>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</si>
  <si>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</si>
  <si>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</si>
  <si>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</si>
  <si>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</si>
  <si>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</si>
  <si>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</si>
  <si>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</si>
  <si>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</si>
  <si>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</si>
  <si>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</si>
  <si>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</si>
  <si>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</si>
  <si>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</si>
  <si>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</si>
  <si>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</si>
  <si>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</si>
  <si>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</si>
  <si>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</si>
  <si>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</si>
  <si>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</si>
  <si>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</si>
  <si>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</si>
  <si>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</si>
  <si>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</si>
  <si>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</si>
  <si>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</si>
  <si>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</si>
  <si>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</si>
  <si>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</si>
  <si>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</si>
  <si>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</si>
  <si>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</si>
  <si>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</si>
  <si>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</si>
  <si>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</si>
  <si>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</si>
  <si>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</si>
  <si>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</si>
  <si>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</si>
  <si>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</si>
  <si>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</si>
  <si>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</si>
  <si>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</si>
  <si>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</si>
  <si>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</si>
  <si>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</si>
  <si>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</si>
  <si>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</si>
  <si>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</si>
  <si>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</si>
  <si>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</si>
  <si>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</si>
  <si>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</si>
  <si>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</si>
  <si>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</si>
  <si>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</si>
  <si>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</si>
  <si>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</si>
  <si>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</si>
  <si>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</si>
  <si>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</si>
  <si>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</si>
  <si>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</si>
  <si>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</si>
  <si>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</si>
  <si>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</si>
  <si>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</si>
  <si>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</si>
  <si>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</si>
  <si>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</si>
  <si>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</si>
  <si>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</si>
  <si>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</si>
  <si>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</si>
  <si>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</si>
  <si>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</si>
  <si>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</si>
  <si>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</si>
  <si>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</si>
  <si>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</si>
  <si>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</si>
  <si>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</si>
  <si>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</si>
  <si>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</si>
  <si>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</si>
  <si>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</si>
  <si>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</si>
  <si>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</si>
  <si>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</si>
  <si>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</si>
  <si>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</si>
  <si>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</si>
  <si>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</si>
  <si>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</si>
  <si>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</si>
  <si>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</si>
  <si>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</si>
  <si>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</si>
  <si>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</si>
  <si>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</si>
  <si>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</si>
  <si>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</si>
  <si>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</si>
  <si>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</si>
  <si>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</si>
  <si>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</si>
  <si>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</si>
  <si>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</si>
  <si>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</si>
  <si>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</si>
  <si>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</si>
  <si>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</si>
  <si>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</si>
  <si>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</si>
  <si>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</si>
  <si>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</si>
  <si>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</si>
  <si>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</si>
  <si>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</si>
  <si>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</si>
  <si>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</si>
  <si>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</si>
  <si>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</si>
  <si>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</si>
  <si>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</si>
  <si>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</si>
  <si>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</si>
  <si>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</si>
  <si>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</si>
  <si>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</si>
  <si>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</si>
  <si>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</si>
  <si>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</si>
  <si>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</si>
  <si>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</si>
  <si>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</si>
  <si>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</si>
  <si>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</si>
  <si>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</si>
  <si>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</si>
  <si>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</si>
  <si>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</si>
  <si>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</si>
  <si>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</si>
  <si>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</si>
  <si>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</si>
  <si>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</si>
  <si>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</si>
  <si>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</si>
  <si>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</si>
  <si>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</si>
  <si>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</si>
  <si>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</si>
  <si>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</si>
  <si>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</si>
  <si>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</si>
  <si>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</si>
  <si>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</si>
  <si>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</si>
  <si>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</si>
  <si>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</si>
  <si>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</si>
  <si>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</si>
  <si>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</si>
  <si>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</si>
  <si>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</si>
  <si>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</si>
  <si>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</si>
  <si>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</si>
  <si>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</si>
  <si>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</si>
  <si>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</si>
  <si>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</si>
  <si>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</si>
  <si>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</si>
  <si>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</si>
  <si>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</si>
  <si>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</si>
  <si>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</si>
  <si>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</si>
  <si>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</si>
  <si>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</si>
  <si>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</si>
  <si>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</si>
  <si>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</si>
  <si>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</si>
  <si>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</si>
  <si>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</si>
  <si>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</si>
  <si>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</si>
  <si>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</si>
  <si>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</si>
  <si>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</si>
  <si>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</si>
  <si>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</si>
  <si>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</si>
  <si>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</si>
  <si>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</si>
  <si>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</si>
  <si>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</si>
  <si>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</si>
  <si>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</si>
  <si>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</si>
  <si>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</si>
  <si>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</si>
  <si>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</si>
  <si>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</si>
  <si>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</si>
  <si>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</si>
  <si>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</si>
  <si>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</si>
  <si>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</si>
  <si>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</si>
  <si>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</si>
  <si>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</si>
  <si>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</si>
  <si>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</si>
  <si>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</si>
  <si>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</si>
  <si>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</si>
  <si>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</si>
  <si>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</si>
  <si>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</si>
  <si>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</si>
  <si>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</si>
  <si>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</si>
  <si>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</si>
  <si>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</si>
  <si>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</si>
  <si>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</si>
  <si>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</si>
  <si>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</si>
  <si>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</si>
  <si>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</si>
  <si>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</si>
  <si>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</si>
  <si>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</si>
  <si>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</si>
  <si>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</si>
  <si>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</si>
  <si>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</si>
  <si>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</si>
  <si>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</si>
  <si>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</si>
  <si>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</si>
  <si>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</si>
  <si>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</si>
  <si>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</si>
  <si>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</si>
  <si>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</si>
  <si>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</si>
  <si>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</si>
  <si>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</si>
  <si>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</si>
  <si>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</si>
  <si>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</si>
  <si>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</si>
  <si>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</si>
  <si>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</si>
  <si>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</si>
  <si>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</si>
  <si>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</si>
  <si>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</si>
  <si>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</si>
  <si>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</si>
  <si>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</si>
  <si>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</si>
  <si>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</si>
  <si>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</si>
  <si>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</si>
  <si>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</si>
  <si>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</si>
  <si>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</si>
  <si>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</si>
  <si>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</si>
  <si>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</si>
  <si>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</si>
  <si>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</si>
  <si>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</si>
  <si>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</si>
  <si>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</si>
  <si>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</si>
  <si>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</si>
  <si>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</si>
  <si>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</si>
  <si>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</si>
  <si>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</si>
  <si>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</si>
  <si>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</si>
  <si>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</si>
  <si>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</si>
  <si>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</si>
  <si>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</si>
  <si>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</si>
  <si>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</si>
  <si>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</si>
  <si>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</si>
  <si>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</si>
  <si>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</si>
  <si>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</si>
  <si>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</si>
  <si>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</si>
  <si>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</si>
  <si>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</si>
  <si>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</si>
  <si>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</si>
  <si>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</si>
  <si>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</si>
  <si>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</si>
  <si>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</si>
  <si>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</si>
  <si>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</si>
  <si>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</si>
  <si>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</si>
  <si>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</si>
  <si>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</si>
  <si>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</si>
  <si>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</si>
  <si>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</si>
  <si>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</si>
  <si>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</si>
  <si>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</si>
  <si>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</si>
  <si>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</si>
  <si>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</si>
  <si>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</si>
  <si>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</si>
  <si>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</si>
  <si>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</si>
  <si>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</si>
  <si>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</si>
  <si>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</si>
  <si>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</si>
  <si>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</si>
  <si>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</si>
  <si>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</si>
  <si>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</si>
  <si>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</si>
  <si>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</si>
  <si>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</si>
  <si>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</si>
  <si>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</si>
  <si>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</si>
  <si>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</si>
  <si>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</si>
  <si>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</si>
  <si>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</si>
  <si>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</si>
  <si>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</si>
  <si>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</si>
  <si>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</si>
  <si>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</si>
  <si>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</si>
  <si>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</si>
  <si>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</si>
  <si>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</si>
  <si>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</si>
  <si>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</si>
  <si>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</si>
  <si>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</si>
  <si>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</si>
  <si>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</si>
  <si>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</si>
  <si>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</si>
  <si>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</si>
  <si>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</si>
  <si>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</si>
  <si>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</si>
  <si>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</si>
  <si>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</si>
  <si>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</si>
  <si>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</si>
  <si>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</si>
  <si>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</si>
  <si>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</si>
  <si>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</si>
  <si>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</si>
  <si>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</si>
  <si>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</si>
  <si>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</si>
  <si>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</si>
  <si>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</si>
  <si>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</si>
  <si>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</si>
  <si>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</si>
  <si>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</si>
  <si>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</si>
  <si>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</si>
  <si>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</si>
  <si>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</si>
  <si>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</si>
  <si>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</si>
  <si>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</si>
  <si>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</si>
  <si>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</si>
  <si>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</si>
  <si>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</si>
  <si>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</si>
  <si>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</si>
  <si>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</si>
  <si>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</si>
  <si>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</si>
  <si>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</si>
  <si>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</si>
  <si>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</si>
  <si>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</si>
  <si>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</si>
  <si>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</si>
  <si>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</si>
  <si>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</si>
  <si>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</si>
  <si>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</si>
  <si>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</si>
  <si>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</si>
  <si>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</si>
  <si>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</si>
  <si>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</si>
  <si>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</si>
  <si>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</si>
  <si>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</si>
  <si>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</si>
  <si>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</si>
  <si>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</si>
  <si>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</si>
  <si>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</si>
  <si>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</si>
  <si>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</si>
  <si>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</si>
  <si>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</si>
  <si>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</si>
  <si>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</si>
  <si>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</si>
  <si>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</si>
  <si>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</si>
  <si>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</si>
  <si>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</si>
  <si>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</si>
  <si>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</si>
  <si>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</si>
  <si>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</si>
  <si>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</si>
  <si>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</si>
  <si>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</si>
  <si>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</si>
  <si>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</si>
  <si>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</si>
  <si>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</si>
  <si>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</si>
  <si>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</si>
  <si>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</si>
  <si>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</si>
  <si>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</si>
  <si>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</si>
  <si>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</si>
  <si>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</si>
  <si>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</si>
  <si>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</si>
  <si>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</si>
  <si>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</si>
  <si>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</si>
  <si>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</si>
  <si>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</si>
  <si>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</si>
  <si>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</si>
  <si>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</si>
  <si>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</si>
  <si>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</si>
  <si>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</si>
  <si>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</si>
  <si>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</si>
  <si>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</si>
  <si>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</si>
  <si>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</si>
  <si>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</si>
  <si>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</si>
  <si>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</si>
  <si>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</si>
  <si>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</si>
  <si>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</si>
  <si>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</si>
  <si>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</si>
  <si>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</si>
  <si>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</si>
  <si>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</si>
  <si>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</si>
  <si>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</si>
  <si>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</si>
  <si>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</si>
  <si>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</si>
  <si>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</si>
  <si>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</si>
  <si>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</si>
  <si>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</si>
  <si>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</si>
  <si>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</si>
  <si>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</si>
  <si>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</si>
  <si>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</si>
  <si>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</si>
  <si>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</si>
  <si>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</si>
  <si>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</si>
  <si>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</si>
  <si>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</si>
  <si>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</si>
  <si>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</si>
  <si>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</si>
  <si>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</si>
  <si>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</si>
  <si>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</si>
  <si>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</si>
  <si>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</si>
  <si>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</si>
  <si>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</si>
  <si>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</si>
  <si>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</si>
  <si>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</si>
  <si>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</si>
  <si>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</si>
  <si>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</si>
  <si>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</si>
  <si>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</si>
  <si>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</si>
  <si>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</si>
  <si>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</si>
  <si>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</si>
  <si>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</si>
  <si>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</si>
  <si>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</si>
  <si>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</si>
  <si>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</si>
  <si>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</si>
  <si>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</si>
  <si>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</si>
  <si>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</si>
  <si>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</si>
  <si>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</si>
  <si>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</si>
  <si>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</si>
  <si>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</si>
  <si>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</si>
  <si>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</si>
  <si>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</si>
  <si>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</si>
  <si>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</si>
  <si>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</si>
  <si>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</si>
  <si>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</si>
  <si>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</si>
  <si>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</si>
  <si>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</si>
  <si>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</si>
  <si>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</si>
  <si>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</si>
  <si>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</si>
  <si>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</si>
  <si>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</si>
  <si>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</si>
  <si>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</si>
  <si>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</si>
  <si>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</si>
  <si>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</si>
  <si>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</si>
  <si>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</si>
  <si>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</si>
  <si>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</si>
  <si>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</si>
  <si>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</si>
  <si>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</si>
  <si>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</si>
  <si>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</si>
  <si>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</si>
  <si>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</si>
  <si>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</si>
  <si>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</si>
  <si>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</si>
  <si>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</si>
  <si>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</si>
  <si>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</si>
  <si>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</si>
  <si>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</si>
  <si>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</si>
  <si>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</si>
  <si>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</si>
  <si>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</si>
  <si>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</si>
  <si>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</si>
  <si>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</si>
  <si>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</si>
  <si>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</si>
  <si>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</si>
  <si>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</si>
  <si>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</si>
  <si>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</si>
  <si>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</si>
  <si>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</si>
  <si>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</si>
  <si>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</si>
  <si>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</si>
  <si>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</si>
  <si>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</si>
  <si>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</si>
  <si>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</si>
  <si>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</si>
  <si>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</si>
  <si>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</si>
  <si>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</si>
  <si>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</si>
  <si>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</si>
  <si>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</si>
  <si>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</si>
  <si>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</si>
  <si>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</si>
  <si>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</si>
  <si>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</si>
  <si>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</si>
  <si>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</si>
  <si>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</si>
  <si>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</si>
  <si>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</si>
  <si>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</si>
  <si>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</si>
  <si>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</si>
  <si>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</si>
  <si>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</si>
  <si>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</si>
  <si>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</si>
  <si>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</si>
  <si>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</si>
  <si>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</si>
  <si>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</si>
  <si>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</si>
  <si>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</si>
  <si>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</si>
  <si>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</si>
  <si>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</si>
  <si>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</si>
  <si>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</si>
  <si>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</si>
  <si>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</si>
  <si>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</si>
  <si>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</si>
  <si>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</si>
  <si>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</si>
  <si>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</si>
  <si>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</si>
  <si>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</si>
  <si>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</si>
  <si>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</si>
  <si>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</si>
  <si>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</si>
  <si>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</si>
  <si>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</si>
  <si>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</si>
  <si>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</si>
  <si>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</si>
  <si>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</si>
  <si>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</si>
  <si>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</si>
  <si>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</si>
  <si>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</si>
  <si>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</si>
  <si>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</si>
  <si>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</si>
  <si>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</si>
  <si>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</si>
  <si>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</si>
  <si>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</si>
  <si>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</si>
  <si>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</si>
  <si>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</si>
  <si>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</si>
  <si>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</si>
  <si>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</si>
  <si>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</si>
  <si>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</si>
  <si>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</si>
  <si>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</si>
  <si>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</si>
  <si>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</si>
  <si>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</si>
  <si>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</si>
  <si>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</si>
  <si>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</si>
  <si>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</si>
  <si>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</si>
  <si>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</si>
  <si>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</si>
  <si>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</si>
  <si>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</si>
  <si>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</si>
  <si>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</si>
  <si>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</si>
  <si>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</si>
  <si>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</si>
  <si>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</si>
  <si>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</si>
  <si>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</si>
  <si>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</si>
  <si>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</si>
  <si>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</si>
  <si>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</si>
  <si>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</si>
  <si>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</si>
  <si>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</si>
  <si>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</si>
  <si>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</si>
  <si>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</si>
  <si>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</si>
  <si>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</si>
  <si>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</si>
  <si>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</si>
  <si>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</si>
  <si>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</si>
  <si>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</si>
  <si>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</si>
  <si>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</si>
  <si>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</si>
  <si>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</si>
  <si>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</si>
  <si>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</si>
  <si>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</si>
  <si>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</si>
  <si>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</si>
  <si>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</si>
  <si>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</si>
  <si>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</si>
  <si>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</si>
  <si>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</si>
  <si>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</si>
  <si>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</si>
  <si>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</si>
  <si>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</si>
  <si>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</si>
  <si>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</si>
  <si>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</si>
  <si>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</si>
  <si>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</si>
  <si>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</si>
  <si>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</si>
  <si>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</si>
  <si>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</si>
  <si>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</si>
  <si>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</si>
  <si>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</si>
  <si>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</si>
  <si>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</si>
  <si>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</si>
  <si>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</si>
  <si>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</si>
  <si>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</si>
  <si>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</si>
  <si>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</si>
  <si>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</si>
  <si>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</si>
  <si>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</si>
  <si>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</si>
  <si>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</si>
  <si>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</si>
  <si>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</si>
  <si>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</si>
  <si>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</si>
  <si>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</si>
  <si>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</si>
  <si>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</si>
  <si>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</si>
  <si>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</si>
  <si>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</si>
  <si>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</si>
  <si>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</si>
  <si>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</si>
  <si>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</si>
  <si>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</si>
  <si>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</si>
  <si>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</si>
  <si>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</si>
  <si>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</si>
  <si>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</si>
  <si>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</si>
  <si>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</si>
  <si>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</si>
  <si>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</si>
  <si>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</si>
  <si>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</si>
  <si>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</si>
  <si>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</si>
  <si>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</si>
  <si>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</si>
  <si>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</si>
  <si>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</si>
  <si>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</si>
  <si>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</si>
  <si>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</si>
  <si>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</si>
  <si>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</si>
  <si>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</si>
  <si>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</si>
  <si>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</si>
  <si>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</si>
  <si>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</si>
  <si>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</si>
  <si>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</si>
  <si>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</si>
  <si>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</si>
  <si>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</si>
  <si>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</si>
  <si>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</si>
  <si>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</si>
  <si>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</si>
  <si>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</si>
  <si>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</si>
  <si>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</si>
  <si>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</si>
  <si>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</si>
  <si>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</si>
  <si>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</si>
  <si>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</si>
  <si>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</si>
  <si>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</si>
  <si>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</si>
  <si>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</si>
  <si>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</si>
  <si>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</si>
  <si>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</si>
  <si>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</si>
  <si>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</si>
  <si>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</si>
  <si>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</si>
  <si>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</si>
  <si>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</si>
  <si>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</si>
  <si>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</si>
  <si>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</si>
  <si>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</si>
  <si>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</si>
  <si>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</si>
  <si>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</si>
  <si>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</si>
  <si>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</si>
  <si>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</si>
  <si>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</si>
  <si>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</si>
  <si>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</si>
  <si>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</si>
  <si>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</si>
  <si>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</si>
  <si>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</si>
  <si>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</si>
  <si>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</si>
  <si>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</si>
  <si>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</si>
  <si>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</si>
  <si>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</si>
  <si>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</si>
  <si>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</si>
  <si>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</si>
  <si>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</si>
  <si>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</si>
  <si>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</si>
  <si>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</si>
  <si>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</si>
  <si>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</si>
  <si>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</si>
  <si>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</si>
  <si>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</si>
  <si>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</si>
  <si>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</si>
  <si>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</si>
  <si>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</si>
  <si>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</si>
  <si>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</si>
  <si>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</si>
  <si>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</si>
  <si>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</si>
  <si>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</si>
  <si>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</si>
  <si>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</si>
  <si>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</si>
  <si>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</si>
  <si>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</si>
  <si>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</si>
  <si>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</si>
  <si>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</si>
  <si>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</si>
  <si>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</si>
  <si>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</si>
  <si>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</si>
  <si>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</si>
  <si>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</si>
  <si>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</si>
  <si>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</si>
  <si>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</si>
  <si>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</si>
  <si>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</si>
  <si>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</si>
  <si>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</si>
  <si>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</si>
  <si>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</si>
  <si>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</si>
  <si>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</si>
  <si>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</si>
  <si>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</si>
  <si>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</si>
  <si>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</si>
  <si>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</si>
  <si>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</si>
  <si>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</si>
  <si>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</si>
  <si>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</si>
  <si>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</si>
  <si>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</si>
  <si>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</si>
  <si>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</si>
  <si>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</si>
  <si>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</si>
  <si>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</si>
  <si>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</si>
  <si>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</si>
  <si>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</si>
  <si>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</si>
  <si>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</si>
  <si>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</si>
  <si>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</si>
  <si>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</si>
  <si>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</si>
  <si>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</si>
  <si>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</si>
  <si>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</si>
  <si>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</si>
  <si>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</si>
  <si>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</si>
  <si>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</si>
  <si>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</si>
  <si>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</si>
  <si>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</si>
  <si>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</si>
  <si>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</si>
  <si>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</si>
  <si>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</si>
  <si>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</si>
  <si>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</si>
  <si>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</si>
  <si>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</si>
  <si>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</si>
  <si>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</si>
  <si>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</si>
  <si>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</si>
  <si>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</si>
  <si>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</si>
  <si>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</si>
  <si>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</si>
  <si>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</si>
  <si>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</si>
  <si>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</si>
  <si>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</si>
  <si>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</si>
  <si>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</si>
  <si>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</si>
  <si>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</si>
  <si>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</si>
  <si>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</si>
  <si>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</si>
  <si>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</si>
  <si>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</si>
  <si>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</si>
  <si>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</si>
  <si>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</si>
  <si>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</si>
  <si>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</si>
  <si>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</si>
  <si>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</si>
  <si>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</si>
  <si>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</si>
  <si>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</si>
  <si>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</si>
  <si>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</si>
  <si>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</si>
  <si>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</si>
  <si>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</si>
  <si>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</si>
  <si>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</si>
  <si>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</si>
  <si>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</si>
  <si>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</si>
  <si>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</si>
  <si>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</si>
  <si>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</si>
  <si>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</si>
  <si>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</si>
  <si>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</si>
  <si>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</si>
  <si>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</si>
  <si>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</si>
  <si>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</si>
  <si>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</si>
  <si>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</si>
  <si>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</si>
  <si>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</si>
  <si>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</si>
  <si>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</si>
  <si>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</si>
  <si>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</si>
  <si>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</si>
  <si>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</si>
  <si>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</si>
  <si>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</si>
  <si>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</si>
  <si>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</si>
  <si>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</si>
  <si>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</si>
  <si>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</si>
  <si>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</si>
  <si>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</si>
  <si>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</si>
  <si>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</si>
  <si>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</si>
  <si>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</si>
  <si>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</si>
  <si>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</si>
  <si>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</si>
  <si>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</si>
  <si>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</si>
  <si>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</si>
  <si>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</si>
  <si>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</si>
  <si>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</si>
  <si>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</si>
  <si>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</si>
  <si>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</si>
  <si>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</si>
  <si>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</si>
  <si>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</si>
  <si>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</si>
  <si>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</si>
  <si>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</si>
  <si>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</si>
  <si>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</si>
  <si>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</si>
  <si>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</si>
  <si>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</si>
  <si>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</si>
  <si>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</si>
  <si>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</si>
  <si>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</si>
  <si>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</si>
  <si>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</si>
  <si>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</si>
  <si>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</si>
  <si>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</si>
  <si>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</si>
  <si>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</si>
  <si>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</si>
  <si>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</si>
  <si>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</si>
  <si>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</si>
  <si>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</si>
  <si>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</si>
  <si>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</si>
  <si>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</si>
  <si>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</si>
  <si>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</si>
  <si>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</si>
  <si>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</si>
  <si>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</si>
  <si>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</si>
  <si>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</si>
  <si>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</si>
  <si>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</si>
  <si>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</si>
  <si>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</si>
  <si>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</si>
  <si>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</si>
  <si>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</si>
  <si>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</si>
  <si>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</si>
  <si>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</si>
  <si>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</si>
  <si>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</si>
  <si>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</si>
  <si>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</si>
  <si>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</si>
  <si>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</si>
  <si>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</si>
  <si>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</si>
  <si>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</si>
  <si>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</si>
  <si>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</si>
  <si>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</si>
  <si>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</si>
  <si>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</si>
  <si>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</si>
  <si>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</si>
  <si>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</si>
  <si>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</si>
  <si>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</si>
  <si>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</si>
  <si>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</si>
  <si>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</si>
  <si>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</si>
  <si>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</si>
  <si>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</si>
  <si>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</si>
  <si>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</si>
  <si>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</si>
  <si>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</si>
  <si>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</si>
  <si>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</si>
  <si>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</si>
  <si>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</si>
  <si>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</si>
  <si>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</si>
  <si>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</si>
  <si>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</si>
  <si>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</si>
  <si>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</si>
  <si>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</si>
  <si>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</si>
  <si>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</si>
  <si>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</si>
  <si>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</si>
  <si>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</si>
  <si>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</si>
  <si>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</si>
  <si>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</si>
  <si>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</si>
  <si>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</si>
  <si>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</si>
  <si>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</si>
  <si>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</si>
  <si>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</si>
  <si>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</si>
  <si>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</si>
  <si>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</si>
  <si>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</si>
  <si>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</si>
  <si>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</si>
  <si>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</si>
  <si>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</si>
  <si>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</si>
  <si>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</si>
  <si>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</si>
  <si>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</si>
  <si>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</si>
  <si>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</si>
  <si>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</si>
  <si>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</si>
  <si>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</si>
  <si>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</si>
  <si>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</si>
  <si>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</si>
  <si>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</si>
  <si>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</si>
  <si>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</si>
  <si>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</si>
  <si>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</si>
  <si>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</si>
  <si>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</si>
  <si>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</si>
  <si>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</si>
  <si>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</si>
  <si>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</si>
  <si>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</si>
  <si>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</si>
  <si>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</si>
  <si>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</si>
  <si>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</si>
  <si>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</si>
  <si>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</si>
  <si>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</si>
  <si>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</si>
  <si>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</si>
  <si>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</si>
  <si>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</si>
  <si>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</si>
  <si>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</si>
  <si>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</si>
  <si>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</si>
  <si>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</si>
  <si>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</si>
  <si>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</si>
  <si>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</si>
  <si>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</si>
  <si>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</si>
  <si>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</si>
  <si>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</si>
  <si>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</si>
  <si>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</si>
  <si>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</si>
  <si>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</si>
  <si>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</si>
  <si>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</si>
  <si>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</si>
  <si>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</si>
  <si>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</si>
  <si>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</si>
  <si>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</si>
  <si>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</si>
  <si>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</si>
  <si>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</si>
  <si>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</si>
  <si>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</si>
  <si>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</si>
  <si>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</si>
  <si>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</si>
  <si>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</si>
  <si>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</si>
  <si>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</si>
  <si>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</si>
  <si>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</si>
  <si>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</si>
  <si>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</si>
  <si>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</si>
  <si>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</si>
  <si>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</si>
  <si>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</si>
  <si>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</si>
  <si>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</si>
  <si>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</si>
  <si>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</si>
  <si>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</si>
  <si>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</si>
  <si>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</si>
  <si>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</si>
  <si>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</si>
  <si>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</si>
  <si>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</si>
  <si>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</si>
  <si>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</si>
  <si>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</si>
  <si>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</si>
  <si>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</si>
  <si>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</si>
  <si>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</si>
  <si>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</si>
  <si>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</si>
  <si>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</si>
  <si>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</si>
  <si>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</si>
  <si>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</si>
  <si>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</si>
  <si>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</si>
  <si>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</si>
  <si>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</si>
  <si>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</si>
  <si>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</si>
  <si>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</si>
  <si>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</si>
  <si>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</si>
  <si>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</si>
  <si>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</si>
  <si>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</si>
  <si>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</si>
  <si>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</si>
  <si>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</si>
  <si>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</si>
  <si>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</si>
  <si>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</si>
  <si>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</si>
  <si>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</si>
  <si>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</si>
  <si>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</si>
  <si>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</si>
  <si>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</si>
  <si>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</si>
  <si>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</si>
  <si>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</si>
  <si>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</si>
  <si>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</si>
  <si>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</si>
  <si>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</si>
  <si>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</si>
  <si>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</si>
  <si>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</si>
  <si>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</si>
  <si>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</si>
  <si>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</si>
  <si>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</si>
  <si>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</si>
  <si>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</si>
  <si>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</si>
  <si>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</si>
  <si>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</si>
  <si>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</si>
  <si>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</si>
  <si>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</si>
  <si>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</si>
  <si>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</si>
  <si>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</si>
  <si>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</si>
  <si>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</si>
  <si>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</si>
  <si>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</si>
  <si>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</si>
  <si>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</si>
  <si>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</si>
  <si>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</si>
  <si>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</si>
  <si>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</si>
  <si>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</si>
  <si>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</si>
  <si>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</si>
  <si>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</si>
  <si>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</si>
  <si>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</si>
  <si>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</si>
  <si>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</si>
  <si>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</si>
  <si>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</si>
  <si>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</si>
  <si>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</si>
  <si>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</si>
  <si>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</si>
  <si>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</si>
  <si>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</si>
  <si>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</si>
  <si>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</si>
  <si>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</si>
  <si>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</si>
  <si>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</si>
  <si>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</si>
  <si>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</si>
  <si>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</si>
  <si>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</si>
  <si>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</si>
  <si>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</si>
  <si>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</si>
  <si>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</si>
  <si>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</si>
  <si>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</si>
  <si>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</si>
  <si>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</si>
  <si>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</si>
  <si>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</si>
  <si>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</si>
  <si>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</si>
  <si>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</si>
  <si>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</si>
  <si>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</si>
  <si>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</si>
  <si>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</si>
  <si>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</si>
  <si>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</si>
  <si>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</si>
  <si>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</si>
  <si>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</si>
  <si>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</si>
  <si>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</si>
  <si>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</si>
  <si>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</si>
  <si>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</si>
  <si>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</si>
  <si>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</si>
  <si>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</si>
  <si>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</si>
  <si>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</si>
  <si>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</si>
  <si>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</si>
  <si>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</si>
  <si>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</si>
  <si>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</si>
  <si>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</si>
  <si>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</si>
  <si>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</si>
  <si>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</si>
  <si>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</si>
  <si>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</si>
  <si>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</si>
  <si>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</si>
  <si>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</si>
  <si>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</si>
  <si>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</si>
  <si>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</si>
  <si>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</si>
  <si>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</si>
  <si>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</si>
  <si>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</si>
  <si>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</si>
  <si>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</si>
  <si>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</si>
  <si>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</si>
  <si>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</si>
  <si>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</si>
  <si>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</si>
  <si>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</si>
  <si>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</si>
  <si>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</si>
  <si>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</si>
  <si>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</si>
  <si>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</si>
  <si>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</si>
  <si>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</si>
  <si>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</si>
  <si>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</si>
  <si>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</si>
  <si>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</si>
  <si>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</si>
  <si>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</si>
  <si>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</si>
  <si>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</si>
  <si>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</si>
  <si>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</si>
  <si>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</si>
  <si>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</si>
  <si>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</si>
  <si>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</si>
  <si>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</si>
  <si>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</si>
  <si>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</si>
  <si>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</si>
  <si>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</si>
  <si>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</si>
  <si>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</si>
  <si>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</si>
  <si>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</si>
  <si>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</si>
  <si>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</si>
  <si>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</si>
  <si>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</si>
  <si>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</si>
  <si>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</si>
  <si>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</si>
  <si>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</si>
  <si>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</si>
  <si>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</si>
  <si>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</si>
  <si>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</si>
  <si>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</si>
  <si>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</si>
  <si>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</si>
  <si>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</si>
  <si>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</si>
  <si>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</si>
  <si>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</si>
  <si>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</si>
  <si>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</si>
  <si>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</si>
  <si>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</si>
  <si>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</si>
  <si>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</si>
  <si>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</si>
  <si>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</si>
  <si>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</si>
  <si>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</si>
  <si>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</si>
  <si>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</si>
  <si>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</si>
  <si>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</si>
  <si>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</si>
  <si>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</si>
  <si>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</si>
  <si>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</si>
  <si>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</si>
  <si>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</si>
  <si>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</si>
  <si>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</si>
  <si>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</si>
  <si>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</si>
  <si>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</si>
  <si>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</si>
  <si>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</si>
  <si>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</si>
  <si>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</si>
  <si>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</si>
  <si>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</si>
  <si>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</si>
  <si>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</si>
  <si>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</si>
  <si>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</si>
  <si>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</si>
  <si>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</si>
  <si>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</si>
  <si>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</si>
  <si>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</si>
  <si>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</si>
  <si>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</si>
  <si>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</si>
  <si>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</si>
  <si>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</si>
  <si>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</si>
  <si>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</si>
  <si>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</si>
  <si>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</si>
  <si>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</si>
  <si>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</si>
  <si>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</si>
  <si>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</si>
  <si>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</si>
  <si>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</si>
  <si>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</si>
  <si>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</si>
  <si>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</si>
  <si>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</si>
  <si>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</si>
  <si>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</si>
  <si>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</si>
  <si>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</si>
  <si>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</si>
  <si>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</si>
  <si>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</si>
  <si>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</si>
  <si>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</si>
  <si>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</si>
  <si>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</si>
  <si>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</si>
  <si>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</si>
  <si>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</si>
  <si>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</si>
  <si>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</si>
  <si>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</si>
  <si>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</si>
  <si>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</si>
  <si>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</si>
  <si>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</si>
  <si>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</si>
  <si>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</si>
  <si>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</si>
  <si>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</si>
  <si>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</si>
  <si>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</si>
  <si>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</si>
  <si>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</si>
  <si>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</si>
  <si>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</si>
  <si>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</si>
  <si>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</si>
  <si>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</si>
  <si>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</si>
  <si>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</si>
  <si>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</si>
  <si>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</si>
  <si>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</si>
  <si>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</si>
  <si>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</si>
  <si>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</si>
  <si>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</si>
  <si>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</si>
  <si>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</si>
  <si>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</si>
  <si>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</si>
  <si>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</si>
  <si>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</si>
  <si>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</si>
  <si>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</si>
  <si>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</si>
  <si>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</si>
  <si>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</si>
  <si>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</si>
  <si>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</si>
  <si>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</si>
  <si>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</si>
  <si>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</si>
  <si>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</si>
  <si>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</si>
  <si>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</si>
  <si>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</si>
  <si>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</si>
  <si>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</si>
  <si>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</si>
  <si>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</si>
  <si>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</si>
  <si>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</si>
  <si>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</si>
  <si>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</si>
  <si>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</si>
  <si>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</si>
  <si>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</si>
  <si>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</si>
  <si>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</si>
  <si>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</si>
  <si>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</si>
  <si>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</si>
  <si>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</si>
  <si>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</si>
  <si>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</si>
  <si>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</si>
  <si>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</si>
  <si>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</si>
  <si>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</si>
  <si>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</si>
  <si>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</si>
  <si>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</si>
  <si>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</si>
  <si>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</si>
  <si>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</si>
  <si>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</si>
  <si>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</si>
  <si>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</si>
  <si>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</si>
  <si>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</si>
  <si>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</si>
  <si>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</si>
  <si>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</si>
  <si>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</si>
  <si>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</si>
  <si>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</si>
  <si>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</si>
  <si>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</si>
  <si>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</si>
  <si>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</si>
  <si>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</si>
  <si>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</si>
  <si>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</si>
  <si>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</si>
  <si>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</si>
  <si>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</si>
  <si>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</si>
  <si>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</si>
  <si>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</si>
  <si>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</si>
  <si>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</si>
  <si>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</si>
  <si>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</si>
  <si>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</si>
  <si>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</si>
  <si>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</si>
  <si>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</si>
  <si>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</si>
  <si>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</si>
  <si>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</si>
  <si>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</si>
  <si>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</si>
  <si>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</si>
  <si>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</si>
  <si>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</si>
  <si>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</si>
  <si>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</si>
  <si>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</si>
  <si>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</si>
  <si>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</si>
  <si>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</si>
  <si>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</si>
  <si>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</si>
  <si>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</si>
  <si>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</si>
  <si>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</si>
  <si>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</si>
  <si>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</si>
  <si>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</si>
  <si>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</si>
  <si>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</si>
  <si>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</si>
  <si>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</si>
  <si>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</si>
  <si>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</si>
  <si>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</si>
  <si>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</si>
  <si>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</si>
  <si>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</si>
  <si>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</si>
  <si>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</si>
  <si>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</si>
  <si>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</si>
  <si>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</si>
  <si>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</si>
  <si>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</si>
  <si>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</si>
  <si>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</si>
  <si>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</si>
  <si>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</si>
  <si>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</si>
  <si>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</si>
  <si>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</si>
  <si>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</si>
  <si>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</si>
  <si>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</si>
  <si>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</si>
  <si>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</si>
  <si>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</si>
  <si>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</si>
  <si>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</si>
  <si>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</si>
  <si>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</si>
  <si>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</si>
  <si>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</si>
  <si>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</si>
  <si>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</si>
  <si>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</si>
  <si>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</si>
  <si>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</si>
  <si>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</si>
  <si>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</si>
  <si>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</si>
  <si>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</si>
  <si>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</si>
  <si>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</si>
  <si>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</si>
  <si>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</si>
  <si>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</si>
  <si>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</si>
  <si>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</si>
  <si>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</si>
  <si>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</si>
  <si>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</si>
  <si>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</si>
  <si>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</si>
  <si>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</si>
  <si>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</si>
  <si>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</si>
  <si>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</si>
  <si>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</si>
  <si>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</si>
  <si>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</si>
  <si>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</si>
  <si>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</si>
  <si>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</si>
  <si>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</si>
  <si>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</si>
  <si>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</si>
  <si>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</si>
  <si>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</si>
  <si>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</si>
  <si>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</si>
  <si>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</si>
  <si>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</si>
  <si>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</si>
  <si>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</si>
  <si>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</si>
  <si>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</si>
  <si>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</si>
  <si>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</si>
  <si>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</si>
  <si>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</si>
  <si>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</si>
  <si>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</si>
  <si>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</si>
  <si>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</si>
  <si>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</si>
  <si>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</si>
  <si>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</si>
  <si>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</si>
  <si>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</si>
  <si>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</si>
  <si>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</si>
  <si>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</si>
  <si>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</si>
  <si>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</si>
  <si>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</si>
  <si>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</si>
  <si>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</si>
  <si>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</si>
  <si>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</si>
  <si>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</si>
  <si>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</si>
  <si>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</si>
  <si>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</si>
  <si>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</si>
  <si>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</si>
  <si>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</si>
  <si>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</si>
  <si>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</si>
  <si>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</si>
  <si>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</si>
  <si>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</si>
  <si>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</si>
  <si>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</si>
  <si>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</si>
  <si>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</si>
  <si>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</si>
  <si>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</si>
  <si>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</si>
  <si>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</si>
  <si>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</si>
  <si>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</si>
  <si>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</si>
  <si>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</si>
  <si>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</si>
  <si>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</si>
  <si>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</si>
  <si>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</si>
  <si>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</si>
  <si>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</si>
  <si>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</si>
  <si>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</si>
  <si>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</si>
  <si>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</si>
  <si>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</si>
  <si>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</si>
  <si>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</si>
  <si>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</si>
  <si>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</si>
  <si>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</si>
  <si>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</si>
  <si>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</si>
  <si>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</si>
  <si>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</si>
  <si>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</si>
  <si>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</si>
  <si>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</si>
  <si>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</si>
  <si>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</si>
  <si>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</si>
  <si>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</si>
  <si>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</si>
  <si>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</si>
  <si>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</si>
  <si>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</si>
  <si>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</si>
  <si>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</si>
  <si>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</si>
  <si>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</si>
  <si>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</si>
  <si>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</si>
  <si>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</si>
  <si>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</si>
  <si>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</si>
  <si>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</si>
  <si>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</si>
  <si>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</si>
  <si>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</si>
  <si>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</si>
  <si>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</si>
  <si>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</si>
  <si>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</si>
  <si>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</si>
  <si>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</si>
  <si>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</si>
  <si>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</si>
  <si>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</si>
  <si>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</si>
  <si>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</si>
  <si>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</si>
  <si>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</si>
  <si>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</si>
  <si>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</si>
  <si>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</si>
  <si>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</si>
  <si>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</si>
  <si>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</si>
  <si>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</si>
  <si>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</si>
  <si>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</si>
  <si>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</si>
  <si>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</si>
  <si>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</si>
  <si>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</si>
  <si>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</si>
  <si>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</si>
  <si>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</si>
  <si>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</si>
  <si>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</si>
  <si>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</si>
  <si>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</si>
  <si>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</si>
  <si>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</si>
  <si>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</si>
  <si>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</si>
  <si>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</si>
  <si>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</si>
  <si>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</si>
  <si>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</si>
  <si>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</si>
  <si>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</si>
  <si>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</si>
  <si>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</si>
  <si>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</si>
  <si>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</si>
  <si>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</si>
  <si>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</si>
  <si>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</si>
  <si>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</si>
  <si>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</si>
  <si>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</si>
  <si>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</si>
  <si>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</si>
  <si>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</si>
  <si>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</si>
  <si>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</si>
  <si>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</si>
  <si>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</si>
  <si>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</si>
  <si>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</si>
  <si>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</si>
  <si>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</si>
  <si>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</si>
  <si>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</si>
  <si>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</si>
  <si>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</si>
  <si>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</si>
  <si>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</si>
  <si>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</si>
  <si>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</si>
  <si>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</si>
  <si>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</si>
  <si>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</si>
  <si>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</si>
  <si>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</si>
  <si>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</si>
  <si>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</si>
  <si>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</si>
  <si>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</si>
  <si>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</si>
  <si>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</si>
  <si>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</si>
  <si>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</si>
  <si>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</si>
  <si>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</si>
  <si>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</si>
  <si>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</si>
  <si>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</si>
  <si>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</si>
  <si>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</si>
  <si>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</si>
  <si>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</si>
  <si>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</si>
  <si>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</si>
  <si>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</si>
  <si>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</si>
  <si>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</si>
  <si>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</si>
  <si>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</si>
  <si>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</si>
  <si>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</si>
  <si>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</si>
  <si>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</si>
  <si>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</si>
  <si>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</si>
  <si>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</si>
  <si>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</si>
  <si>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</si>
  <si>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</si>
  <si>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</si>
  <si>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</si>
  <si>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</si>
  <si>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</si>
  <si>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</si>
  <si>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</si>
  <si>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</si>
  <si>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</si>
  <si>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</si>
  <si>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</si>
  <si>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</si>
  <si>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</si>
  <si>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</si>
  <si>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</si>
  <si>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</si>
  <si>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</si>
  <si>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</si>
  <si>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</si>
  <si>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</si>
  <si>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</si>
  <si>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</si>
  <si>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</si>
  <si>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</si>
  <si>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</si>
  <si>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</si>
  <si>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</si>
  <si>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</si>
  <si>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</si>
  <si>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</si>
  <si>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</si>
  <si>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</si>
  <si>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</si>
  <si>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</si>
  <si>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</si>
  <si>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</si>
  <si>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</si>
  <si>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</si>
  <si>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</si>
  <si>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</si>
  <si>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</si>
  <si>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</si>
  <si>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</si>
  <si>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</si>
  <si>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</si>
  <si>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</si>
  <si>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</si>
  <si>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</si>
  <si>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</si>
  <si>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</si>
  <si>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</si>
  <si>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</si>
  <si>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</si>
  <si>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</si>
  <si>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</si>
  <si>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</si>
  <si>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</si>
  <si>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</si>
  <si>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</si>
  <si>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</si>
  <si>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</si>
  <si>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</si>
  <si>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</si>
  <si>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</si>
  <si>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</si>
  <si>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</si>
  <si>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</si>
  <si>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</si>
  <si>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</si>
  <si>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</si>
  <si>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</si>
  <si>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</si>
  <si>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</si>
  <si>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</si>
  <si>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</si>
  <si>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</si>
  <si>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</si>
  <si>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</si>
  <si>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</si>
  <si>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</si>
  <si>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</si>
  <si>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</si>
  <si>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</si>
  <si>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</si>
  <si>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</si>
  <si>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</si>
  <si>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</si>
  <si>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</si>
  <si>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</si>
  <si>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</si>
  <si>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</si>
  <si>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</si>
  <si>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</si>
  <si>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</si>
  <si>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</si>
  <si>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</si>
  <si>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</si>
  <si>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</si>
  <si>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</si>
  <si>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</si>
  <si>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</si>
  <si>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</si>
  <si>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</si>
  <si>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</si>
  <si>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</si>
  <si>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</si>
  <si>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</si>
  <si>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</si>
  <si>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</si>
  <si>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</si>
  <si>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</si>
  <si>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</si>
  <si>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</si>
  <si>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</si>
  <si>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</si>
  <si>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</si>
  <si>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</si>
  <si>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</si>
  <si>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</si>
  <si>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</si>
  <si>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</si>
  <si>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</si>
  <si>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</si>
  <si>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</si>
  <si>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</si>
  <si>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</si>
  <si>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</si>
  <si>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</si>
  <si>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</si>
  <si>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</si>
  <si>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</si>
  <si>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</si>
  <si>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</si>
  <si>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</si>
  <si>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</si>
  <si>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</si>
  <si>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</si>
  <si>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</si>
  <si>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</si>
  <si>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</si>
  <si>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</si>
  <si>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</si>
  <si>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</si>
  <si>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</si>
  <si>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</si>
  <si>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</si>
  <si>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</si>
  <si>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</si>
  <si>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</si>
  <si>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</si>
  <si>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</si>
  <si>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</si>
  <si>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</si>
  <si>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</si>
  <si>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</si>
  <si>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</si>
  <si>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</si>
  <si>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</si>
  <si>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</si>
  <si>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</si>
  <si>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</si>
  <si>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</si>
  <si>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</si>
  <si>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</si>
  <si>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</si>
  <si>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</si>
  <si>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</si>
  <si>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</si>
  <si>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</si>
  <si>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</si>
  <si>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</si>
  <si>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</si>
  <si>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</si>
  <si>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</si>
  <si>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</si>
  <si>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</si>
  <si>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</si>
  <si>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</si>
  <si>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</si>
  <si>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</si>
  <si>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</si>
  <si>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</si>
  <si>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</si>
  <si>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</si>
  <si>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</si>
  <si>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</si>
  <si>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</si>
  <si>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</si>
  <si>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</si>
  <si>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</si>
  <si>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</si>
  <si>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</si>
  <si>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</si>
  <si>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</si>
  <si>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</si>
  <si>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</si>
  <si>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</si>
  <si>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</si>
  <si>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</si>
  <si>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</si>
  <si>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</si>
  <si>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</si>
  <si>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</si>
  <si>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</si>
  <si>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</si>
  <si>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</si>
  <si>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</si>
  <si>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</si>
  <si>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</si>
  <si>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</si>
  <si>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</si>
  <si>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</si>
  <si>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</si>
  <si>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</si>
  <si>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</si>
  <si>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</si>
  <si>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</si>
  <si>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</si>
  <si>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</si>
  <si>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</si>
  <si>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</si>
  <si>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</si>
  <si>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</si>
  <si>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</si>
  <si>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</si>
  <si>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</si>
  <si>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</si>
  <si>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</si>
  <si>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</si>
  <si>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</si>
  <si>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</si>
  <si>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</si>
  <si>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</si>
  <si>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</si>
  <si>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</si>
  <si>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</si>
  <si>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</si>
  <si>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</si>
  <si>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</si>
  <si>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</si>
  <si>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</si>
  <si>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</si>
  <si>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</si>
  <si>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</si>
  <si>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</si>
  <si>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</si>
  <si>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</si>
  <si>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</si>
  <si>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</si>
  <si>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</si>
  <si>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</si>
  <si>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</si>
  <si>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</si>
  <si>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</si>
  <si>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</si>
  <si>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</si>
  <si>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</si>
  <si>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</si>
  <si>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</si>
  <si>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</si>
  <si>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</si>
  <si>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</si>
  <si>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</si>
  <si>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</si>
  <si>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</si>
  <si>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</si>
  <si>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</si>
  <si>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</si>
  <si>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</si>
  <si>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</si>
  <si>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</si>
  <si>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</si>
  <si>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</si>
  <si>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</si>
  <si>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</si>
  <si>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</si>
  <si>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</si>
  <si>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</si>
  <si>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</si>
  <si>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</si>
  <si>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</si>
  <si>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</si>
  <si>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</si>
  <si>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</si>
  <si>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</si>
  <si>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</si>
  <si>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</si>
  <si>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</si>
  <si>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</si>
  <si>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</si>
  <si>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</si>
  <si>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</si>
  <si>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</si>
  <si>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</si>
  <si>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</si>
  <si>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</si>
  <si>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</si>
  <si>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</si>
  <si>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</si>
  <si>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</si>
  <si>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</si>
  <si>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</si>
  <si>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</si>
  <si>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</si>
  <si>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</si>
  <si>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</si>
  <si>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</si>
  <si>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</si>
  <si>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</si>
  <si>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</si>
  <si>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</si>
  <si>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</si>
  <si>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</si>
  <si>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</si>
  <si>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</si>
  <si>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</si>
  <si>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</si>
  <si>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</si>
  <si>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</si>
  <si>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</si>
  <si>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</si>
  <si>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</si>
  <si>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</si>
  <si>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</si>
  <si>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</si>
  <si>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</si>
  <si>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</si>
  <si>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</si>
  <si>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</si>
  <si>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</si>
  <si>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</si>
  <si>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</si>
  <si>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</si>
  <si>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</si>
  <si>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</si>
  <si>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</si>
  <si>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</si>
  <si>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</si>
  <si>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</si>
  <si>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</si>
  <si>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</si>
  <si>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</si>
  <si>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</si>
  <si>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</si>
  <si>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</si>
  <si>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</si>
  <si>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</si>
  <si>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</si>
  <si>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</si>
  <si>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</si>
  <si>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</si>
  <si>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</si>
  <si>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</si>
  <si>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</si>
  <si>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</si>
  <si>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</si>
  <si>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</si>
  <si>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</si>
  <si>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</si>
  <si>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</si>
  <si>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</si>
  <si>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</si>
  <si>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</si>
  <si>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</si>
  <si>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</si>
  <si>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</si>
  <si>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</si>
  <si>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</si>
  <si>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</si>
  <si>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</si>
  <si>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</si>
  <si>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</si>
  <si>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</si>
  <si>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</si>
  <si>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</si>
  <si>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</si>
  <si>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</si>
  <si>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</si>
  <si>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</si>
  <si>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</si>
  <si>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</si>
  <si>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</si>
  <si>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</si>
  <si>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</si>
  <si>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</si>
  <si>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</si>
  <si>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</si>
  <si>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</si>
  <si>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</si>
  <si>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</si>
  <si>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</si>
  <si>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</si>
  <si>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</si>
  <si>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</si>
  <si>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</si>
  <si>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</si>
  <si>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</si>
  <si>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</si>
  <si>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</si>
  <si>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</si>
  <si>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</si>
  <si>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</si>
  <si>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</si>
  <si>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</si>
  <si>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</si>
  <si>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</si>
  <si>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</si>
  <si>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</si>
  <si>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</si>
  <si>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</si>
  <si>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</si>
  <si>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</si>
  <si>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</si>
  <si>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</si>
  <si>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</si>
  <si>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</si>
  <si>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</si>
  <si>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</si>
  <si>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</si>
  <si>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</si>
  <si>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</si>
  <si>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</si>
  <si>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</si>
  <si>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</si>
  <si>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</si>
  <si>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</si>
  <si>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</si>
  <si>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</si>
  <si>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</si>
  <si>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</si>
  <si>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</si>
  <si>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</si>
  <si>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</si>
  <si>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</si>
  <si>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</si>
  <si>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</si>
  <si>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</si>
  <si>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</si>
  <si>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</si>
  <si>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</si>
  <si>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</si>
  <si>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</si>
  <si>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</si>
  <si>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</si>
  <si>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</si>
  <si>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</si>
  <si>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</si>
  <si>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</si>
  <si>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</si>
  <si>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</si>
  <si>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</si>
  <si>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</si>
  <si>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</si>
  <si>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</si>
  <si>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</si>
  <si>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</si>
  <si>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</si>
  <si>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</si>
  <si>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</si>
  <si>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</si>
  <si>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</si>
  <si>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</si>
  <si>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</si>
  <si>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</si>
  <si>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</si>
  <si>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</si>
  <si>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</si>
  <si>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</si>
  <si>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</si>
  <si>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</si>
  <si>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</si>
  <si>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</si>
  <si>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</si>
  <si>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</si>
  <si>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</si>
  <si>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</si>
  <si>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</si>
  <si>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</si>
  <si>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</si>
  <si>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</si>
  <si>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</si>
  <si>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</si>
  <si>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</si>
  <si>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</si>
  <si>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</si>
  <si>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</si>
  <si>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</si>
  <si>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</si>
  <si>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</si>
  <si>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</si>
  <si>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</si>
  <si>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</si>
  <si>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</si>
  <si>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</si>
  <si>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</si>
  <si>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</si>
  <si>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</si>
  <si>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</si>
  <si>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</si>
  <si>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</si>
  <si>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</si>
  <si>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</si>
  <si>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</si>
  <si>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</si>
  <si>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</si>
  <si>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</si>
  <si>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</si>
  <si>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</si>
  <si>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</si>
  <si>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</si>
  <si>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</si>
  <si>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</si>
  <si>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</si>
  <si>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</si>
  <si>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</si>
  <si>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</si>
  <si>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</si>
  <si>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</si>
  <si>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</si>
  <si>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</si>
  <si>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</si>
  <si>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</si>
  <si>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</si>
  <si>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</si>
  <si>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</si>
  <si>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</si>
  <si>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</si>
  <si>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</si>
  <si>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</si>
  <si>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</si>
  <si>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</si>
  <si>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</si>
  <si>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</si>
  <si>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</si>
  <si>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</si>
  <si>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</si>
  <si>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</si>
  <si>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</si>
  <si>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</si>
  <si>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</si>
  <si>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</si>
  <si>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</si>
  <si>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</si>
  <si>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</si>
  <si>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</si>
  <si>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</si>
  <si>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</si>
  <si>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</si>
  <si>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</si>
  <si>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</si>
  <si>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</si>
  <si>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</si>
  <si>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</si>
  <si>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</si>
  <si>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</si>
  <si>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</si>
  <si>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</si>
  <si>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</si>
  <si>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</si>
  <si>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</si>
  <si>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</si>
  <si>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</si>
  <si>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</si>
  <si>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</si>
  <si>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</si>
  <si>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</si>
  <si>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</si>
  <si>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</si>
  <si>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</si>
  <si>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</si>
  <si>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</si>
  <si>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</si>
  <si>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</si>
  <si>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</si>
  <si>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</si>
  <si>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</si>
  <si>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</si>
  <si>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</si>
  <si>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</si>
  <si>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</si>
  <si>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</si>
  <si>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</si>
  <si>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</si>
  <si>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</si>
  <si>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</si>
  <si>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</si>
  <si>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</si>
  <si>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</si>
  <si>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</si>
  <si>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</si>
  <si>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</si>
  <si>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</si>
  <si>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</si>
  <si>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</si>
  <si>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</si>
  <si>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</si>
  <si>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</si>
  <si>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</si>
  <si>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</si>
  <si>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</si>
  <si>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</si>
  <si>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</si>
  <si>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</si>
  <si>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</si>
  <si>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</si>
  <si>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</si>
  <si>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</si>
  <si>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</si>
  <si>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</si>
  <si>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</si>
  <si>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</si>
  <si>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</si>
  <si>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</si>
  <si>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</si>
  <si>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</si>
  <si>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</si>
  <si>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</si>
  <si>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</si>
  <si>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</si>
  <si>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</si>
  <si>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</si>
  <si>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</si>
  <si>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</si>
  <si>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</si>
  <si>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</si>
  <si>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</si>
  <si>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</si>
  <si>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</si>
  <si>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</si>
  <si>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</si>
  <si>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</si>
  <si>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</si>
  <si>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</si>
  <si>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</si>
  <si>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</si>
  <si>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</si>
  <si>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</si>
  <si>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</si>
  <si>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</si>
  <si>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</si>
  <si>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</si>
  <si>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</si>
  <si>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</si>
  <si>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</si>
  <si>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</si>
  <si>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</si>
  <si>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</si>
  <si>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</si>
  <si>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</si>
  <si>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</si>
  <si>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</si>
  <si>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</si>
  <si>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</si>
  <si>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</si>
  <si>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</si>
  <si>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</si>
  <si>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</si>
  <si>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</si>
  <si>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</si>
  <si>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</si>
  <si>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</si>
  <si>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</si>
  <si>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</si>
  <si>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</si>
  <si>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</si>
  <si>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</si>
  <si>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</si>
  <si>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</si>
  <si>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</si>
  <si>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</si>
  <si>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</si>
  <si>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</si>
  <si>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</si>
  <si>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</si>
  <si>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</si>
  <si>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</si>
  <si>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</si>
  <si>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</si>
  <si>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</si>
  <si>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</si>
  <si>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</si>
  <si>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</si>
  <si>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</si>
  <si>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</si>
  <si>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</si>
  <si>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</si>
  <si>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</si>
  <si>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</si>
  <si>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</si>
  <si>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</si>
  <si>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</si>
  <si>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</si>
  <si>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</si>
  <si>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</si>
  <si>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</si>
  <si>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</si>
  <si>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</si>
  <si>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</si>
  <si>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</si>
  <si>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</si>
  <si>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</si>
  <si>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</si>
  <si>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</si>
  <si>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</si>
  <si>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</si>
  <si>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</si>
  <si>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</si>
  <si>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</si>
  <si>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</si>
  <si>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</si>
  <si>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</si>
  <si>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</si>
  <si>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</si>
  <si>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</si>
  <si>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</si>
  <si>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</si>
  <si>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</si>
  <si>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</si>
  <si>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</si>
  <si>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</si>
  <si>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</si>
  <si>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</si>
  <si>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</si>
  <si>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</si>
  <si>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</si>
  <si>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</si>
  <si>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</si>
  <si>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</si>
  <si>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</si>
  <si>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</si>
  <si>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</si>
  <si>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</si>
  <si>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</si>
  <si>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</si>
  <si>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</si>
  <si>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</si>
  <si>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</si>
  <si>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</si>
  <si>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</si>
  <si>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</si>
  <si>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</si>
  <si>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</si>
  <si>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</si>
  <si>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</si>
  <si>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</si>
  <si>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</si>
  <si>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</si>
  <si>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</si>
  <si>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</si>
  <si>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</si>
  <si>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</si>
  <si>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</si>
  <si>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</si>
  <si>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</si>
  <si>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</si>
  <si>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</si>
  <si>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</si>
  <si>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</si>
  <si>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</si>
  <si>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</si>
  <si>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</si>
  <si>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</si>
  <si>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</si>
  <si>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</si>
  <si>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</si>
  <si>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</si>
  <si>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</si>
  <si>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</si>
  <si>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</si>
  <si>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</si>
  <si>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</si>
  <si>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</si>
  <si>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</si>
  <si>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</si>
  <si>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</si>
  <si>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</si>
  <si>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</si>
  <si>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</si>
  <si>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</si>
  <si>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</si>
  <si>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</si>
  <si>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</si>
  <si>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</si>
  <si>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</si>
  <si>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</si>
  <si>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</si>
  <si>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</si>
  <si>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</si>
  <si>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</si>
  <si>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</si>
  <si>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</si>
  <si>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</si>
  <si>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</si>
  <si>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</si>
  <si>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</si>
  <si>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</si>
  <si>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</si>
  <si>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</si>
  <si>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</si>
  <si>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</si>
  <si>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</si>
  <si>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</si>
  <si>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</si>
  <si>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</si>
  <si>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</si>
  <si>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</si>
  <si>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</si>
  <si>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</si>
  <si>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</si>
  <si>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</si>
  <si>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</si>
  <si>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</si>
  <si>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</si>
  <si>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</si>
  <si>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</si>
  <si>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</si>
  <si>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</si>
  <si>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</si>
  <si>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</si>
  <si>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</si>
  <si>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</si>
  <si>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</si>
  <si>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</si>
  <si>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</si>
  <si>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</si>
  <si>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</si>
  <si>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</si>
  <si>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</si>
  <si>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</si>
  <si>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</si>
  <si>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</si>
  <si>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</si>
  <si>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</si>
  <si>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</si>
  <si>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</si>
  <si>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</si>
  <si>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</si>
  <si>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</si>
  <si>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</si>
  <si>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</si>
  <si>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</si>
  <si>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</si>
  <si>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</si>
  <si>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</si>
  <si>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</si>
  <si>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</si>
  <si>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</si>
  <si>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</si>
  <si>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</si>
  <si>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</si>
  <si>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</si>
  <si>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</si>
  <si>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</si>
  <si>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</si>
  <si>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</si>
  <si>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</si>
  <si>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</si>
  <si>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</si>
  <si>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</si>
  <si>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</si>
  <si>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</si>
  <si>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</si>
  <si>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</si>
  <si>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</si>
  <si>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</si>
  <si>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</si>
  <si>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</si>
  <si>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</si>
  <si>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</si>
  <si>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</si>
  <si>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</si>
  <si>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</si>
  <si>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</si>
  <si>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</si>
  <si>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</si>
  <si>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</si>
  <si>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</si>
  <si>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</si>
  <si>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</si>
  <si>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</si>
  <si>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</si>
  <si>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</si>
  <si>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</si>
  <si>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</si>
  <si>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</si>
  <si>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</si>
  <si>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</si>
  <si>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</si>
  <si>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</si>
  <si>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</si>
  <si>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</si>
  <si>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</si>
  <si>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</si>
  <si>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</si>
  <si>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</si>
  <si>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</si>
  <si>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</si>
  <si>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</si>
  <si>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</si>
  <si>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</si>
  <si>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</si>
  <si>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</si>
  <si>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</si>
  <si>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</si>
  <si>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</si>
  <si>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</si>
  <si>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</si>
  <si>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</si>
  <si>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</si>
  <si>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</si>
  <si>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</si>
  <si>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</si>
  <si>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</si>
  <si>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</si>
  <si>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</si>
  <si>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</si>
  <si>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</si>
  <si>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</si>
  <si>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</si>
  <si>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</si>
  <si>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</si>
  <si>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</si>
  <si>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</si>
  <si>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</si>
  <si>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</si>
  <si>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</si>
  <si>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</si>
  <si>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</si>
  <si>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</si>
  <si>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</si>
  <si>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</si>
  <si>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</si>
  <si>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</si>
  <si>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</si>
  <si>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</si>
  <si>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</si>
  <si>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</si>
  <si>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</si>
  <si>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</si>
  <si>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</si>
  <si>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</si>
  <si>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</si>
  <si>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</si>
  <si>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</si>
  <si>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</si>
  <si>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</si>
  <si>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</si>
  <si>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</si>
  <si>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</si>
  <si>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</si>
  <si>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</si>
  <si>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</si>
  <si>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</si>
  <si>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</si>
  <si>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</si>
  <si>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</si>
  <si>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</si>
  <si>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</si>
  <si>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</si>
  <si>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</si>
  <si>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</si>
  <si>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</si>
  <si>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</si>
  <si>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</si>
  <si>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</si>
  <si>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</si>
  <si>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</si>
  <si>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</si>
  <si>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</si>
  <si>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</si>
  <si>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</si>
  <si>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</si>
  <si>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</si>
  <si>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</si>
  <si>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</si>
  <si>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</si>
  <si>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</si>
  <si>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</si>
  <si>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</si>
  <si>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</si>
  <si>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</si>
  <si>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</si>
  <si>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</si>
  <si>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</si>
  <si>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</si>
  <si>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</si>
  <si>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</si>
  <si>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</si>
  <si>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</si>
  <si>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</si>
  <si>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</si>
  <si>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</si>
  <si>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</si>
  <si>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</si>
  <si>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</si>
  <si>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</si>
  <si>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</si>
  <si>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</si>
  <si>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</si>
  <si>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</si>
  <si>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</si>
  <si>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</si>
  <si>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</si>
  <si>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</si>
  <si>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</si>
  <si>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</si>
  <si>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</si>
  <si>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</si>
  <si>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</si>
  <si>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</si>
  <si>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</si>
  <si>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</si>
  <si>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</si>
  <si>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</si>
  <si>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</si>
  <si>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</si>
  <si>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</si>
  <si>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</si>
  <si>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</si>
  <si>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</si>
  <si>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</si>
  <si>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</si>
  <si>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</si>
  <si>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</si>
  <si>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</si>
  <si>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</si>
  <si>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</si>
  <si>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</si>
  <si>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</si>
  <si>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</si>
  <si>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</si>
  <si>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</si>
  <si>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</si>
  <si>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</si>
  <si>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</si>
  <si>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</si>
  <si>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</si>
  <si>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</si>
  <si>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</si>
  <si>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</si>
  <si>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</si>
  <si>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</si>
  <si>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</si>
  <si>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</si>
  <si>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</si>
  <si>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</si>
  <si>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</si>
  <si>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</si>
  <si>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</si>
  <si>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</si>
  <si>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</si>
  <si>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</si>
  <si>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</si>
  <si>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</si>
  <si>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</si>
  <si>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</si>
  <si>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</si>
  <si>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</si>
  <si>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</si>
  <si>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</si>
  <si>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</si>
  <si>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</si>
  <si>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</si>
  <si>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</si>
  <si>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</si>
  <si>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</si>
  <si>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</si>
  <si>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</si>
  <si>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</si>
  <si>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</si>
  <si>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</si>
  <si>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</si>
  <si>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</si>
  <si>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</si>
  <si>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</si>
  <si>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</si>
  <si>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</si>
  <si>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</si>
  <si>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</si>
  <si>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</si>
  <si>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</si>
  <si>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</si>
  <si>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</si>
  <si>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</si>
  <si>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</si>
  <si>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</si>
  <si>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</si>
  <si>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</si>
  <si>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</si>
  <si>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</si>
  <si>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</si>
  <si>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</si>
  <si>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</si>
  <si>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</si>
  <si>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</si>
  <si>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</si>
  <si>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</si>
  <si>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</si>
  <si>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</si>
  <si>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</si>
  <si>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</si>
  <si>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</si>
  <si>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</si>
  <si>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</si>
  <si>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</si>
  <si>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</si>
  <si>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</si>
  <si>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</si>
  <si>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</si>
  <si>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</si>
  <si>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</si>
  <si>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</si>
  <si>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</si>
  <si>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</si>
  <si>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</si>
  <si>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</si>
  <si>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</si>
  <si>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</si>
  <si>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</si>
  <si>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</si>
  <si>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</si>
  <si>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</si>
  <si>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</si>
  <si>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</si>
  <si>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</si>
  <si>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</si>
  <si>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</si>
  <si>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</si>
  <si>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</si>
  <si>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</si>
  <si>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</si>
  <si>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</si>
  <si>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</si>
  <si>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</si>
  <si>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</si>
  <si>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</si>
  <si>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</si>
  <si>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</si>
  <si>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</si>
  <si>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</si>
  <si>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</si>
  <si>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</si>
  <si>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</si>
  <si>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</si>
  <si>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</si>
  <si>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</si>
  <si>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</si>
  <si>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</si>
  <si>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</si>
  <si>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</si>
  <si>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</si>
  <si>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</si>
  <si>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</si>
  <si>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</si>
  <si>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</si>
  <si>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</si>
  <si>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</si>
  <si>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</si>
  <si>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</si>
  <si>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</si>
  <si>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</si>
  <si>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</si>
  <si>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</si>
  <si>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</si>
  <si>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</si>
  <si>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</si>
  <si>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</si>
  <si>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</si>
  <si>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</si>
  <si>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</si>
  <si>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</si>
  <si>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</si>
  <si>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</si>
  <si>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</si>
  <si>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</si>
  <si>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</si>
  <si>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</si>
  <si>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</si>
  <si>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</si>
  <si>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</si>
  <si>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</si>
  <si>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</si>
  <si>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</si>
  <si>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</si>
  <si>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</si>
  <si>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</si>
  <si>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</si>
  <si>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</si>
  <si>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</si>
  <si>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</si>
  <si>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</si>
  <si>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</si>
  <si>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</si>
  <si>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</si>
  <si>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</si>
  <si>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</si>
  <si>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</si>
  <si>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</si>
  <si>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</si>
  <si>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</si>
  <si>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</si>
  <si>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</si>
  <si>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</si>
  <si>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</si>
  <si>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</si>
  <si>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</si>
  <si>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</si>
  <si>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</si>
  <si>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</si>
  <si>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</si>
  <si>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</si>
  <si>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</si>
  <si>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</si>
  <si>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</si>
  <si>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</si>
  <si>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</si>
  <si>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</si>
  <si>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</si>
  <si>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</si>
  <si>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</si>
  <si>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</si>
  <si>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</si>
  <si>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</si>
  <si>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</si>
  <si>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</si>
  <si>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</si>
  <si>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</si>
  <si>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</si>
  <si>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</si>
  <si>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</si>
  <si>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</si>
  <si>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</si>
  <si>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</si>
  <si>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</si>
  <si>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</si>
  <si>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</si>
  <si>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</si>
  <si>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</si>
  <si>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</si>
  <si>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</si>
  <si>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</si>
  <si>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</si>
  <si>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</si>
  <si>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</si>
  <si>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</si>
  <si>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</si>
  <si>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</si>
  <si>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</si>
  <si>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</si>
  <si>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</si>
  <si>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</si>
  <si>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</si>
  <si>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</si>
  <si>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</si>
  <si>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</si>
  <si>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</si>
  <si>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</si>
  <si>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</si>
  <si>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</si>
  <si>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</si>
  <si>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</si>
  <si>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</si>
  <si>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</si>
  <si>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</si>
  <si>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</si>
  <si>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</si>
  <si>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</si>
  <si>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</si>
  <si>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</si>
  <si>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</si>
  <si>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</si>
  <si>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</si>
  <si>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</si>
  <si>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</si>
  <si>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</si>
  <si>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</si>
  <si>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</si>
  <si>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</si>
  <si>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</si>
  <si>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</si>
  <si>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</si>
  <si>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</si>
  <si>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</si>
  <si>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</si>
  <si>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</si>
  <si>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</si>
  <si>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</si>
  <si>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</si>
  <si>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</si>
  <si>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</si>
  <si>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</si>
  <si>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</si>
  <si>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</si>
  <si>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</si>
  <si>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</si>
  <si>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</si>
  <si>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</si>
  <si>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</si>
  <si>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</si>
  <si>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</si>
  <si>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</si>
  <si>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</si>
  <si>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</si>
  <si>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</si>
  <si>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</si>
  <si>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</si>
  <si>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</si>
  <si>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</si>
  <si>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</si>
  <si>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</si>
  <si>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</si>
  <si>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</si>
  <si>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</si>
  <si>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</si>
  <si>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</si>
  <si>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</si>
  <si>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</si>
  <si>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</si>
  <si>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</si>
  <si>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</si>
  <si>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</si>
  <si>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</si>
  <si>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</si>
  <si>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</si>
  <si>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</si>
  <si>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</si>
  <si>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</si>
  <si>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</si>
  <si>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</si>
  <si>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</si>
  <si>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</si>
  <si>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</si>
  <si>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</si>
  <si>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</si>
  <si>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</si>
  <si>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</si>
  <si>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</si>
  <si>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</si>
  <si>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</si>
  <si>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</si>
  <si>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</si>
  <si>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</si>
  <si>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</si>
  <si>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</si>
  <si>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</si>
  <si>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</si>
  <si>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</si>
  <si>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</si>
  <si>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</si>
  <si>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</si>
  <si>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</si>
  <si>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</si>
  <si>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</si>
  <si>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</si>
  <si>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</si>
  <si>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</si>
  <si>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</si>
  <si>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</si>
  <si>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</si>
  <si>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</si>
  <si>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</si>
  <si>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</si>
  <si>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</si>
  <si>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</si>
  <si>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</si>
  <si>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</si>
  <si>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</si>
  <si>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</si>
  <si>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</si>
  <si>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</si>
  <si>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</si>
  <si>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</si>
  <si>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</si>
  <si>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</si>
  <si>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</si>
  <si>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</si>
  <si>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</si>
  <si>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</si>
  <si>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</si>
  <si>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</si>
  <si>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</si>
  <si>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</si>
  <si>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</si>
  <si>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</si>
  <si>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</si>
  <si>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</si>
  <si>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</si>
  <si>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</si>
  <si>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</si>
  <si>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</si>
  <si>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</si>
  <si>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</si>
  <si>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</si>
  <si>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</si>
  <si>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</si>
  <si>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</si>
  <si>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</si>
  <si>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</si>
  <si>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</si>
  <si>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</si>
  <si>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</si>
  <si>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</si>
  <si>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</si>
  <si>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</si>
  <si>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</si>
  <si>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</si>
  <si>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</si>
  <si>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</si>
  <si>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</si>
  <si>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</si>
  <si>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</si>
  <si>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</si>
  <si>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</si>
  <si>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</si>
  <si>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</si>
  <si>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</si>
  <si>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</si>
  <si>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</si>
  <si>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</si>
  <si>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</si>
  <si>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</si>
  <si>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</si>
  <si>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</si>
  <si>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</si>
  <si>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</si>
  <si>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</si>
  <si>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</si>
  <si>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</si>
  <si>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</si>
  <si>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</si>
  <si>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</si>
  <si>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</si>
  <si>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</si>
  <si>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</si>
  <si>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</si>
  <si>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</si>
  <si>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</si>
  <si>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</si>
  <si>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</si>
  <si>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</si>
  <si>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</si>
  <si>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</si>
  <si>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</si>
  <si>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</si>
  <si>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</si>
  <si>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</si>
  <si>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</si>
  <si>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</si>
  <si>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</si>
  <si>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</si>
  <si>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</si>
  <si>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</si>
  <si>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</si>
  <si>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</si>
  <si>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</si>
  <si>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</si>
  <si>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</si>
  <si>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</si>
  <si>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</si>
  <si>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</si>
  <si>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</si>
  <si>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</si>
  <si>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</si>
  <si>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</si>
  <si>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</si>
  <si>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</si>
  <si>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</si>
  <si>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</si>
  <si>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</si>
  <si>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</si>
  <si>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</si>
  <si>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</si>
  <si>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</si>
  <si>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</si>
  <si>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</si>
  <si>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</si>
  <si>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</si>
  <si>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</si>
  <si>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</si>
  <si>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</si>
  <si>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</si>
  <si>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</si>
  <si>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</si>
  <si>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</si>
  <si>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</si>
  <si>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</si>
  <si>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</si>
  <si>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</si>
  <si>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</si>
  <si>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</si>
  <si>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</si>
  <si>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</si>
  <si>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</si>
  <si>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</si>
  <si>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</si>
  <si>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</si>
  <si>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</si>
  <si>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</si>
  <si>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</si>
  <si>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</si>
  <si>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</si>
  <si>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</si>
  <si>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</si>
  <si>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</si>
  <si>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</si>
  <si>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</si>
  <si>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</si>
  <si>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</si>
  <si>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</si>
  <si>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</si>
  <si>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</si>
  <si>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</si>
  <si>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</si>
  <si>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</si>
  <si>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</si>
  <si>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</si>
  <si>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</si>
  <si>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</si>
  <si>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</si>
  <si>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</si>
  <si>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</si>
  <si>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</si>
  <si>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</si>
  <si>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</si>
  <si>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</si>
  <si>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</si>
  <si>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</si>
  <si>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</si>
  <si>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</si>
  <si>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</si>
  <si>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</si>
  <si>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</si>
  <si>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</si>
  <si>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</si>
  <si>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</si>
  <si>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</si>
  <si>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</si>
  <si>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</si>
  <si>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</si>
  <si>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</si>
  <si>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</si>
  <si>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</si>
  <si>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</si>
  <si>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</si>
  <si>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</si>
  <si>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</si>
  <si>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</si>
  <si>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</si>
  <si>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</si>
  <si>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</si>
  <si>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</si>
  <si>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</si>
  <si>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</si>
  <si>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</si>
  <si>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</si>
  <si>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</si>
  <si>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</si>
  <si>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</si>
  <si>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</si>
  <si>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</si>
  <si>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</si>
  <si>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</si>
  <si>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</si>
  <si>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</si>
  <si>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</si>
  <si>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</si>
  <si>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</si>
  <si>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</si>
  <si>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</si>
  <si>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</si>
  <si>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</si>
  <si>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</si>
  <si>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</si>
  <si>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</si>
  <si>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</si>
  <si>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</si>
  <si>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</si>
  <si>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</si>
  <si>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</si>
  <si>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</si>
  <si>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</si>
  <si>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</si>
  <si>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</si>
  <si>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</si>
  <si>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</si>
  <si>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</si>
  <si>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</si>
  <si>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</si>
  <si>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</si>
  <si>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</si>
  <si>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</si>
  <si>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</si>
  <si>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</si>
  <si>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</si>
  <si>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</si>
  <si>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</si>
  <si>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</si>
  <si>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</si>
  <si>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</si>
  <si>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</si>
  <si>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</si>
  <si>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</si>
  <si>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</si>
  <si>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</si>
  <si>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</si>
  <si>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</si>
  <si>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</si>
  <si>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</si>
  <si>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</si>
  <si>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</si>
  <si>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</si>
  <si>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</si>
  <si>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</si>
  <si>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</si>
  <si>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</si>
  <si>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</si>
  <si>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</si>
  <si>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</si>
  <si>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</si>
  <si>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</si>
  <si>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</si>
  <si>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</si>
  <si>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</si>
  <si>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</si>
  <si>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</si>
  <si>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</si>
  <si>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</si>
  <si>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</si>
  <si>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</si>
  <si>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</si>
  <si>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</si>
  <si>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</si>
  <si>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</si>
  <si>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</si>
  <si>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</si>
  <si>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</si>
  <si>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</si>
  <si>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</si>
  <si>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</si>
  <si>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</si>
  <si>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</si>
  <si>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</si>
  <si>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</si>
  <si>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</si>
  <si>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</si>
  <si>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</si>
  <si>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</si>
  <si>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</si>
  <si>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</si>
  <si>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</si>
  <si>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</si>
  <si>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</si>
  <si>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</si>
  <si>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</si>
  <si>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</si>
  <si>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</si>
  <si>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</si>
  <si>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</si>
  <si>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</si>
  <si>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</si>
  <si>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</si>
  <si>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</si>
  <si>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</si>
  <si>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</si>
  <si>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</si>
  <si>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</si>
  <si>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</si>
  <si>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</si>
  <si>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</si>
  <si>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</si>
  <si>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</si>
  <si>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</si>
  <si>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</si>
  <si>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</si>
  <si>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</si>
  <si>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</si>
  <si>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</si>
  <si>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</si>
  <si>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</si>
  <si>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</si>
  <si>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</si>
  <si>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</si>
  <si>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</si>
  <si>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</si>
  <si>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</si>
  <si>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</si>
  <si>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</si>
  <si>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</si>
  <si>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</si>
  <si>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</si>
  <si>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</si>
  <si>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</si>
  <si>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</si>
  <si>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</si>
  <si>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</si>
  <si>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</si>
  <si>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</si>
  <si>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</si>
  <si>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</si>
  <si>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</si>
  <si>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</si>
  <si>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</si>
  <si>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</si>
  <si>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</si>
  <si>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</si>
  <si>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</si>
  <si>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</si>
  <si>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</si>
  <si>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</si>
  <si>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</si>
  <si>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</si>
  <si>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</si>
  <si>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</si>
  <si>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</si>
  <si>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</si>
  <si>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</si>
  <si>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</si>
  <si>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</si>
  <si>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</si>
  <si>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</si>
  <si>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</si>
  <si>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</si>
  <si>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</si>
  <si>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</si>
  <si>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</si>
  <si>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</si>
  <si>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</si>
  <si>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</si>
  <si>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</si>
  <si>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</si>
  <si>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</si>
  <si>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</si>
  <si>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</si>
  <si>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</si>
  <si>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</si>
  <si>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</si>
  <si>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</si>
  <si>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</si>
  <si>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</si>
  <si>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</si>
  <si>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</si>
  <si>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</si>
  <si>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</si>
  <si>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</si>
  <si>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</si>
  <si>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</si>
  <si>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</si>
  <si>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</si>
  <si>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</si>
  <si>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</si>
  <si>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</si>
  <si>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</si>
  <si>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</si>
  <si>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</si>
  <si>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</si>
  <si>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</si>
  <si>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</si>
  <si>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</si>
  <si>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</si>
  <si>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</si>
  <si>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</si>
  <si>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</si>
  <si>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</si>
  <si>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</si>
  <si>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</si>
  <si>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</si>
  <si>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</si>
  <si>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</si>
  <si>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</si>
  <si>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</si>
  <si>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</si>
  <si>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</si>
  <si>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</si>
  <si>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</si>
  <si>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</si>
  <si>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</si>
  <si>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</si>
  <si>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</si>
  <si>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Ribes cf. missouriensis</t>
  </si>
  <si>
    <t>D6-7i Ca, D4-5p, D3i, D1-2p, C1-2r</t>
  </si>
  <si>
    <t>G1-3b</t>
  </si>
  <si>
    <t>Carex cf. rosea/radiata</t>
  </si>
  <si>
    <t>H1-3p</t>
  </si>
  <si>
    <t>Symphyotrichum cf. pilosum</t>
  </si>
  <si>
    <t>Unknown forb</t>
  </si>
  <si>
    <t>LHHL22022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</si>
</sst>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6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44" fillId="0" borderId="25" xfId="0" applyFont="1" applyBorder="1" applyAlignment="1">
      <alignment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1" t="s">
        <v>5390</v>
      </c>
      <c r="B22" s="141"/>
      <c r="C22" s="141"/>
      <c r="D22" s="141"/>
      <c r="E22" s="14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0" t="s">
        <v>5391</v>
      </c>
      <c r="B24" s="140"/>
      <c r="C24" s="140"/>
      <c r="D24" s="140"/>
      <c r="E24" s="14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73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73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73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73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73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73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29" t="s">
        <v>41</v>
      </c>
      <c r="C114" s="130"/>
    </row>
    <row r="115" spans="1:3" x14ac:dyDescent="0.2">
      <c r="A115" s="74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1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3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8" t="s">
        <v>5439</v>
      </c>
      <c r="C1120" s="39">
        <v>0</v>
      </c>
      <c r="D1120" s="119" t="s">
        <v>149</v>
      </c>
      <c r="E1120" s="120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2" customFormat="1" ht="15.75" thickBot="1" x14ac:dyDescent="0.3">
      <c r="A1186" s="115" t="s">
        <v>5435</v>
      </c>
      <c r="C1186" s="112">
        <v>0</v>
      </c>
      <c r="D1186" s="112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2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6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3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8" t="s">
        <v>5438</v>
      </c>
      <c r="C2392" s="39">
        <v>3</v>
      </c>
      <c r="D2392" s="119" t="s">
        <v>157</v>
      </c>
      <c r="E2392" s="120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3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0" customFormat="1" ht="15" x14ac:dyDescent="0.25">
      <c r="A2524" s="111" t="s">
        <v>5428</v>
      </c>
      <c r="C2524" s="110">
        <v>3</v>
      </c>
      <c r="D2524" s="110" t="s">
        <v>149</v>
      </c>
      <c r="E2524" s="110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4" customFormat="1" x14ac:dyDescent="0.2">
      <c r="A2670" s="36" t="s">
        <v>5436</v>
      </c>
      <c r="C2670" s="114">
        <v>1</v>
      </c>
      <c r="D2670" s="114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7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6" t="s">
        <v>5450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5444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3696</v>
      </c>
      <c r="B12" s="44" t="str">
        <f>IF(LEN(VLOOKUP(A12,'Species List'!$A:$G,2,FALSE))=0,"",VLOOKUP(A12,'Species List'!$A:$G,2,FALSE))</f>
        <v>northern red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91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3" si="1">VALUE(L12)</f>
        <v>37.5</v>
      </c>
      <c r="N12" s="109">
        <f t="shared" ref="N12:N77" si="2">L12/$L$153</f>
        <v>0.1736111111111111</v>
      </c>
      <c r="O12" s="109">
        <f t="shared" ref="O12:O13" si="3">D12*N12</f>
        <v>0.86805555555555558</v>
      </c>
    </row>
    <row r="13" spans="1:15" x14ac:dyDescent="0.2">
      <c r="A13" s="123" t="s">
        <v>3683</v>
      </c>
      <c r="B13" s="44" t="str">
        <f>IF(LEN(VLOOKUP(A13,'Species List'!$A:$G,2,FALSE))=0,"",VLOOKUP(A13,'Species List'!$A:$G,2,FALSE))</f>
        <v>white oak</v>
      </c>
      <c r="C13" s="44">
        <f>IF(LEN(VLOOKUP(A13,'Species List'!$A:$G,3,FALSE))=0,"",VLOOKUP(A13,'Species List'!$A:$G,3,FALSE))</f>
        <v>7</v>
      </c>
      <c r="D13" s="99">
        <f t="shared" si="0"/>
        <v>7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6.9444444444444448E-2</v>
      </c>
      <c r="O13" s="109">
        <f t="shared" si="3"/>
        <v>0.48611111111111116</v>
      </c>
    </row>
    <row r="14" spans="1:15" x14ac:dyDescent="0.2">
      <c r="A14" s="123" t="s">
        <v>162</v>
      </c>
      <c r="B14" s="44" t="str">
        <f>IF(LEN(VLOOKUP(A14,'Species List'!$A:$G,2,FALSE))=0,"",VLOOKUP(A14,'Species List'!$A:$G,2,FALSE))</f>
        <v>box elder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91">
        <v>3</v>
      </c>
      <c r="K14" s="47" t="str">
        <f>VLOOKUP(J14,'Species List'!$H$1:$J$9,2,FALSE)</f>
        <v>&gt;25-50%</v>
      </c>
      <c r="L14" s="47">
        <f>VLOOKUP(K14,'Species List'!$I$1:$N$8,2,FALSE)</f>
        <v>37.5</v>
      </c>
      <c r="M14" s="100">
        <f>VALUE(L14)</f>
        <v>37.5</v>
      </c>
      <c r="N14" s="85">
        <f t="shared" si="2"/>
        <v>0.1736111111111111</v>
      </c>
      <c r="O14" s="85">
        <f>D14*N14</f>
        <v>0.1736111111111111</v>
      </c>
    </row>
    <row r="15" spans="1:15" x14ac:dyDescent="0.2">
      <c r="A15" s="123" t="s">
        <v>3654</v>
      </c>
      <c r="B15" s="44" t="str">
        <f>IF(LEN(VLOOKUP(A15,'Species List'!$A:$G,2,FALSE))=0,"",VLOOKUP(A15,'Species List'!$A:$G,2,FALSE))</f>
        <v>black cherry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[FACU]</v>
      </c>
      <c r="H15" s="44">
        <f>VLOOKUP(A15,'Species List'!$A:$G,7,FALSE)</f>
        <v>0</v>
      </c>
      <c r="J15" s="91">
        <v>3</v>
      </c>
      <c r="K15" s="47" t="str">
        <f>VLOOKUP(J15,'Species List'!$H$1:$J$9,2,FALSE)</f>
        <v>&gt;25-50%</v>
      </c>
      <c r="L15" s="47">
        <f>VLOOKUP(K15,'Species List'!$I$1:$N$8,2,FALSE)</f>
        <v>37.5</v>
      </c>
      <c r="M15" s="100">
        <f t="shared" ref="M15:M78" si="5">VALUE(L15)</f>
        <v>37.5</v>
      </c>
      <c r="N15" s="85">
        <f t="shared" si="2"/>
        <v>0.1736111111111111</v>
      </c>
      <c r="O15" s="98">
        <f t="shared" ref="O15:O78" si="6">D15*N15</f>
        <v>0.69444444444444442</v>
      </c>
    </row>
    <row r="16" spans="1:15" x14ac:dyDescent="0.2">
      <c r="A16" s="123" t="s">
        <v>1250</v>
      </c>
      <c r="B16" s="44" t="str">
        <f>IF(LEN(VLOOKUP(A16,'Species List'!$A:$G,2,FALSE))=0,"",VLOOKUP(A16,'Species List'!$A:$G,2,FALSE))</f>
        <v>hackberry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91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1.3888888888888888E-2</v>
      </c>
      <c r="O16" s="98">
        <f t="shared" si="6"/>
        <v>4.1666666666666664E-2</v>
      </c>
    </row>
    <row r="17" spans="1:15" x14ac:dyDescent="0.2">
      <c r="A17" s="123" t="s">
        <v>3755</v>
      </c>
      <c r="B17" s="44" t="str">
        <f>IF(LEN(VLOOKUP(A17,'Species List'!$A:$G,2,FALSE))=0,"",VLOOKUP(A17,'Species List'!$A:$G,2,FALSE))</f>
        <v>common buckthorn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91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85">
        <f t="shared" si="2"/>
        <v>6.9444444444444448E-2</v>
      </c>
      <c r="O17" s="98">
        <f t="shared" si="6"/>
        <v>0</v>
      </c>
    </row>
    <row r="18" spans="1:15" x14ac:dyDescent="0.2">
      <c r="A18" s="123" t="s">
        <v>3656</v>
      </c>
      <c r="B18" s="44" t="str">
        <f>IF(LEN(VLOOKUP(A18,'Species List'!$A:$G,2,FALSE))=0,"",VLOOKUP(A18,'Species List'!$A:$G,2,FALSE))</f>
        <v>chokecherry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[FAC-]</v>
      </c>
      <c r="H18" s="44">
        <f>VLOOKUP(A18,'Species List'!$A:$G,7,FALSE)</f>
        <v>0</v>
      </c>
      <c r="J18" s="91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85">
        <f t="shared" si="2"/>
        <v>6.9444444444444448E-2</v>
      </c>
      <c r="O18" s="98">
        <f t="shared" si="6"/>
        <v>0.20833333333333334</v>
      </c>
    </row>
    <row r="19" spans="1:15" x14ac:dyDescent="0.2">
      <c r="A19" s="123" t="s">
        <v>2144</v>
      </c>
      <c r="B19" s="44" t="str">
        <f>IF(LEN(VLOOKUP(A19,'Species List'!$A:$G,2,FALSE))=0,"",VLOOKUP(A19,'Species List'!$A:$G,2,FALSE))</f>
        <v>green ash</v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1.3888888888888888E-2</v>
      </c>
      <c r="O19" s="98">
        <f t="shared" si="6"/>
        <v>2.7777777777777776E-2</v>
      </c>
    </row>
    <row r="20" spans="1:15" x14ac:dyDescent="0.2">
      <c r="A20" s="123" t="s">
        <v>2138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0</v>
      </c>
      <c r="D20" s="99">
        <f t="shared" si="4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[FAC+]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1.3888888888888888E-2</v>
      </c>
      <c r="O20" s="98">
        <f t="shared" si="6"/>
        <v>0</v>
      </c>
    </row>
    <row r="21" spans="1:15" x14ac:dyDescent="0.2">
      <c r="A21" s="123" t="s">
        <v>4814</v>
      </c>
      <c r="B21" s="44" t="str">
        <f>IF(LEN(VLOOKUP(A21,'Species List'!$A:$G,2,FALSE))=0,"",VLOOKUP(A21,'Species List'!$A:$G,2,FALSE))</f>
        <v>prickly ash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1.3888888888888888E-2</v>
      </c>
      <c r="O21" s="98">
        <f t="shared" si="6"/>
        <v>4.1666666666666664E-2</v>
      </c>
    </row>
    <row r="22" spans="1:15" x14ac:dyDescent="0.2">
      <c r="A22" s="123" t="s">
        <v>5443</v>
      </c>
      <c r="B22" s="44" t="e">
        <f>IF(LEN(VLOOKUP(A22,'Species List'!$A:$G,2,FALSE))=0,"",VLOOKUP(A22,'Species List'!$A:$G,2,FALSE))</f>
        <v>#N/A</v>
      </c>
      <c r="C22" s="44">
        <v>3</v>
      </c>
      <c r="D22" s="99">
        <f t="shared" si="4"/>
        <v>3</v>
      </c>
      <c r="E22" s="44" t="s">
        <v>157</v>
      </c>
      <c r="F22" s="44" t="s">
        <v>147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>
        <v>2</v>
      </c>
      <c r="K22" s="47" t="str">
        <f>VLOOKUP(J22,'Species List'!$H$1:$J$9,2,FALSE)</f>
        <v>&gt;5-25%</v>
      </c>
      <c r="L22" s="47">
        <f>VLOOKUP(K22,'Species List'!$I$1:$N$8,2,FALSE)</f>
        <v>15</v>
      </c>
      <c r="M22" s="100">
        <f t="shared" si="5"/>
        <v>15</v>
      </c>
      <c r="N22" s="85">
        <f t="shared" si="2"/>
        <v>6.9444444444444448E-2</v>
      </c>
      <c r="O22" s="98">
        <f t="shared" si="6"/>
        <v>0.20833333333333334</v>
      </c>
    </row>
    <row r="23" spans="1:15" x14ac:dyDescent="0.2">
      <c r="A23" s="123" t="s">
        <v>5432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1.3888888888888888E-2</v>
      </c>
      <c r="O23" s="98">
        <f t="shared" si="6"/>
        <v>4.1666666666666664E-2</v>
      </c>
    </row>
    <row r="24" spans="1:15" x14ac:dyDescent="0.2">
      <c r="A24" s="123" t="s">
        <v>3836</v>
      </c>
      <c r="B24" s="44" t="str">
        <f>IF(LEN(VLOOKUP(A24,'Species List'!$A:$G,2,FALSE))=0,"",VLOOKUP(A24,'Species List'!$A:$G,2,FALSE))</f>
        <v>Allegheny blackberry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[FACU+]</v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1.3888888888888888E-2</v>
      </c>
      <c r="O24" s="98">
        <f t="shared" si="6"/>
        <v>2.7777777777777776E-2</v>
      </c>
    </row>
    <row r="25" spans="1:15" x14ac:dyDescent="0.2">
      <c r="A25" s="123" t="s">
        <v>4698</v>
      </c>
      <c r="B25" s="44" t="str">
        <f>IF(LEN(VLOOKUP(A25,'Species List'!$A:$G,2,FALSE))=0,"",VLOOKUP(A25,'Species List'!$A:$G,2,FALSE))</f>
        <v>nannyberry</v>
      </c>
      <c r="C25" s="44">
        <f>IF(LEN(VLOOKUP(A25,'Species List'!$A:$G,3,FALSE))=0,"",VLOOKUP(A25,'Species List'!$A:$G,3,FALSE))</f>
        <v>4</v>
      </c>
      <c r="D25" s="99">
        <f t="shared" si="4"/>
        <v>4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FAC+</v>
      </c>
      <c r="H25" s="44">
        <f>VLOOKUP(A25,'Species List'!$A:$G,7,FALSE)</f>
        <v>0</v>
      </c>
      <c r="J25" s="91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1.3888888888888888E-2</v>
      </c>
      <c r="O25" s="98">
        <f t="shared" si="6"/>
        <v>5.5555555555555552E-2</v>
      </c>
    </row>
    <row r="26" spans="1:15" x14ac:dyDescent="0.2">
      <c r="A26" s="123" t="s">
        <v>159</v>
      </c>
      <c r="B26" s="44" t="str">
        <f>IF(LEN(VLOOKUP(A26,'Species List'!$A:$G,2,FALSE))=0,"",VLOOKUP(A26,'Species List'!$A:$G,2,FALSE))</f>
        <v>amur maple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91" t="s">
        <v>5409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100">
        <f t="shared" si="5"/>
        <v>0.5</v>
      </c>
      <c r="N26" s="85">
        <f t="shared" si="2"/>
        <v>2.3148148148148147E-3</v>
      </c>
      <c r="O26" s="98">
        <f t="shared" si="6"/>
        <v>0</v>
      </c>
    </row>
    <row r="27" spans="1:15" x14ac:dyDescent="0.2">
      <c r="A27" s="123" t="s">
        <v>4595</v>
      </c>
      <c r="B27" s="44" t="str">
        <f>IF(LEN(VLOOKUP(A27,'Species List'!$A:$G,2,FALSE))=0,"",VLOOKUP(A27,'Species List'!$A:$G,2,FALSE))</f>
        <v>American elm</v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FACW-</v>
      </c>
      <c r="H27" s="44">
        <f>VLOOKUP(A27,'Species List'!$A:$G,7,FALSE)</f>
        <v>0</v>
      </c>
      <c r="J27" s="91" t="s">
        <v>5409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100">
        <f t="shared" si="5"/>
        <v>0.5</v>
      </c>
      <c r="N27" s="85">
        <f t="shared" si="2"/>
        <v>2.3148148148148147E-3</v>
      </c>
      <c r="O27" s="98">
        <f t="shared" si="6"/>
        <v>6.9444444444444441E-3</v>
      </c>
    </row>
    <row r="28" spans="1:15" x14ac:dyDescent="0.2">
      <c r="A28" s="123" t="s">
        <v>3860</v>
      </c>
      <c r="B28" s="44" t="str">
        <f>IF(LEN(VLOOKUP(A28,'Species List'!$A:$G,2,FALSE))=0,"",VLOOKUP(A28,'Species List'!$A:$G,2,FALSE))</f>
        <v>dwarf raspberry</v>
      </c>
      <c r="C28" s="44">
        <f>IF(LEN(VLOOKUP(A28,'Species List'!$A:$G,3,FALSE))=0,"",VLOOKUP(A28,'Species List'!$A:$G,3,FALSE))</f>
        <v>6</v>
      </c>
      <c r="D28" s="99">
        <f t="shared" si="4"/>
        <v>6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[FACW+]</v>
      </c>
      <c r="H28" s="44">
        <f>VLOOKUP(A28,'Species List'!$A:$G,7,FALSE)</f>
        <v>0</v>
      </c>
      <c r="J28" s="91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85">
        <f t="shared" si="2"/>
        <v>1.3888888888888888E-2</v>
      </c>
      <c r="O28" s="98">
        <f t="shared" si="6"/>
        <v>8.3333333333333329E-2</v>
      </c>
    </row>
    <row r="29" spans="1:15" x14ac:dyDescent="0.2">
      <c r="A29" s="123" t="s">
        <v>2253</v>
      </c>
      <c r="B29" s="44" t="str">
        <f>IF(LEN(VLOOKUP(A29,'Species List'!$A:$G,2,FALSE))=0,"",VLOOKUP(A29,'Species List'!$A:$G,2,FALSE))</f>
        <v>honey locust</v>
      </c>
      <c r="C29" s="44">
        <f>IF(LEN(VLOOKUP(A29,'Species List'!$A:$G,3,FALSE))=0,"",VLOOKUP(A29,'Species List'!$A:$G,3,FALSE))</f>
        <v>0</v>
      </c>
      <c r="D29" s="99">
        <f t="shared" si="4"/>
        <v>0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Introduced</v>
      </c>
      <c r="G29" s="44" t="str">
        <f>IF(LEN(VLOOKUP(A29,'Species List'!$A:$G,6,FALSE))=0,"",VLOOKUP(A29,'Species List'!$A:$G,6,FALSE))</f>
        <v>FAC</v>
      </c>
      <c r="H29" s="44" t="str">
        <f>VLOOKUP(A29,'Species List'!$A:$G,7,FALSE)</f>
        <v>W</v>
      </c>
      <c r="J29" s="91" t="s">
        <v>5409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100">
        <f t="shared" si="5"/>
        <v>0.5</v>
      </c>
      <c r="N29" s="85">
        <f t="shared" si="2"/>
        <v>2.3148148148148147E-3</v>
      </c>
      <c r="O29" s="98">
        <f t="shared" si="6"/>
        <v>0</v>
      </c>
    </row>
    <row r="30" spans="1:15" x14ac:dyDescent="0.2">
      <c r="A30" s="123" t="s">
        <v>5422</v>
      </c>
      <c r="B30" s="44" t="str">
        <f>IF(LEN(VLOOKUP(A30,'Species List'!$A:$G,2,FALSE))=0,"",VLOOKUP(A30,'Species List'!$A:$G,2,FALSE))</f>
        <v>woodbine</v>
      </c>
      <c r="C30" s="44">
        <f>IF(LEN(VLOOKUP(A30,'Species List'!$A:$G,3,FALSE))=0,"",VLOOKUP(A30,'Species List'!$A:$G,3,FALSE))</f>
        <v>2</v>
      </c>
      <c r="D30" s="99">
        <f t="shared" si="4"/>
        <v>2</v>
      </c>
      <c r="E30" s="44" t="str">
        <f>IF(LEN(VLOOKUP(A30,'Species List'!$A:$G,4,FALSE))=0,"",VLOOKUP(A30,'Species List'!$A:$G,4,FALSE))</f>
        <v>C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4">
        <v>2</v>
      </c>
      <c r="K30" s="47" t="str">
        <f>VLOOKUP(J30,'Species List'!$H$1:$J$9,2,FALSE)</f>
        <v>&gt;5-25%</v>
      </c>
      <c r="L30" s="47">
        <f>VLOOKUP(K30,'Species List'!$I$1:$N$8,2,FALSE)</f>
        <v>15</v>
      </c>
      <c r="M30" s="100">
        <f t="shared" si="5"/>
        <v>15</v>
      </c>
      <c r="N30" s="85">
        <f t="shared" si="2"/>
        <v>6.9444444444444448E-2</v>
      </c>
      <c r="O30" s="98">
        <f t="shared" si="6"/>
        <v>0.1388888888888889</v>
      </c>
    </row>
    <row r="31" spans="1:15" x14ac:dyDescent="0.2">
      <c r="A31" s="123" t="s">
        <v>4765</v>
      </c>
      <c r="B31" s="44" t="str">
        <f>IF(LEN(VLOOKUP(A31,'Species List'!$A:$G,2,FALSE))=0,"",VLOOKUP(A31,'Species List'!$A:$G,2,FALSE))</f>
        <v>wild grape</v>
      </c>
      <c r="C31" s="44">
        <f>IF(LEN(VLOOKUP(A31,'Species List'!$A:$G,3,FALSE))=0,"",VLOOKUP(A31,'Species List'!$A:$G,3,FALSE))</f>
        <v>2</v>
      </c>
      <c r="D31" s="99">
        <f t="shared" si="4"/>
        <v>2</v>
      </c>
      <c r="E31" s="44" t="str">
        <f>IF(LEN(VLOOKUP(A31,'Species List'!$A:$G,4,FALSE))=0,"",VLOOKUP(A31,'Species List'!$A:$G,4,FALSE))</f>
        <v>C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FACW-</v>
      </c>
      <c r="H31" s="44">
        <f>VLOOKUP(A31,'Species List'!$A:$G,7,FALSE)</f>
        <v>0</v>
      </c>
      <c r="J31" s="124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85">
        <f t="shared" si="2"/>
        <v>1.3888888888888888E-2</v>
      </c>
      <c r="O31" s="98">
        <f t="shared" si="6"/>
        <v>2.7777777777777776E-2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216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5447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2301</v>
      </c>
      <c r="B12" s="44" t="str">
        <f>IF(LEN(VLOOKUP(A12,'Species List'!$A:$G,2,FALSE))=0,"",VLOOKUP(A12,'Species List'!$A:$G,2,FALSE))</f>
        <v>Virginia stickseed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24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9">
        <f t="shared" ref="N12:N13" si="2">L12/$L$153</f>
        <v>3.6585365853658534E-2</v>
      </c>
      <c r="O12" s="109">
        <f t="shared" ref="O12:O13" si="3">D12*N12</f>
        <v>3.6585365853658534E-2</v>
      </c>
    </row>
    <row r="13" spans="1:15" x14ac:dyDescent="0.2">
      <c r="A13" s="123" t="s">
        <v>1658</v>
      </c>
      <c r="B13" s="44" t="str">
        <f>IF(LEN(VLOOKUP(A13,'Species List'!$A:$G,2,FALSE))=0,"",VLOOKUP(A13,'Species List'!$A:$G,2,FALSE))</f>
        <v>pointed-leaved tick trefoil</v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4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3.6585365853658534E-2</v>
      </c>
      <c r="O13" s="109">
        <f t="shared" si="3"/>
        <v>0.21951219512195119</v>
      </c>
    </row>
    <row r="14" spans="1:15" x14ac:dyDescent="0.2">
      <c r="A14" s="123" t="s">
        <v>2186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24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3.6585365853658534E-2</v>
      </c>
      <c r="O14" s="85">
        <f>D14*N14</f>
        <v>0.14634146341463414</v>
      </c>
    </row>
    <row r="15" spans="1:15" x14ac:dyDescent="0.2">
      <c r="A15" s="123" t="s">
        <v>359</v>
      </c>
      <c r="B15" s="44" t="str">
        <f>IF(LEN(VLOOKUP(A15,'Species List'!$A:$G,2,FALSE))=0,"",VLOOKUP(A15,'Species List'!$A:$G,2,FALSE))</f>
        <v>hog peanut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4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0.18292682926829268</v>
      </c>
      <c r="O15" s="98">
        <f t="shared" ref="O15:O78" si="7">D15*N15</f>
        <v>0.36585365853658536</v>
      </c>
    </row>
    <row r="16" spans="1:15" x14ac:dyDescent="0.2">
      <c r="A16" s="123" t="s">
        <v>596</v>
      </c>
      <c r="B16" s="44" t="str">
        <f>IF(LEN(VLOOKUP(A16,'Species List'!$A:$G,2,FALSE))=0,"",VLOOKUP(A16,'Species List'!$A:$G,2,FALSE))</f>
        <v>lady fern</v>
      </c>
      <c r="C16" s="44">
        <f>IF(LEN(VLOOKUP(A16,'Species List'!$A:$G,3,FALSE))=0,"",VLOOKUP(A16,'Species List'!$A:$G,3,FALSE))</f>
        <v>5</v>
      </c>
      <c r="D16" s="99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4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3.6585365853658534E-2</v>
      </c>
      <c r="O16" s="98">
        <f t="shared" si="7"/>
        <v>0.18292682926829268</v>
      </c>
    </row>
    <row r="17" spans="1:15" x14ac:dyDescent="0.2">
      <c r="A17" s="123" t="s">
        <v>3130</v>
      </c>
      <c r="B17" s="44" t="str">
        <f>IF(LEN(VLOOKUP(A17,'Species List'!$A:$G,2,FALSE))=0,"",VLOOKUP(A17,'Species List'!$A:$G,2,FALSE))</f>
        <v>Clayton's sweet cicely</v>
      </c>
      <c r="C17" s="44">
        <f>IF(LEN(VLOOKUP(A17,'Species List'!$A:$G,3,FALSE))=0,"",VLOOKUP(A17,'Species List'!$A:$G,3,FALSE))</f>
        <v>3</v>
      </c>
      <c r="D17" s="99">
        <f t="shared" si="4"/>
        <v>3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FACU-</v>
      </c>
      <c r="H17" s="44">
        <f>VLOOKUP(A17,'Species List'!$A:$G,7,FALSE)</f>
        <v>0</v>
      </c>
      <c r="J17" s="124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3.6585365853658534E-2</v>
      </c>
      <c r="O17" s="98">
        <f t="shared" si="7"/>
        <v>0.1097560975609756</v>
      </c>
    </row>
    <row r="18" spans="1:15" x14ac:dyDescent="0.2">
      <c r="A18" s="125" t="s">
        <v>5448</v>
      </c>
      <c r="B18" s="44" t="e">
        <f>IF(LEN(VLOOKUP(A18,'Species List'!$A:$G,2,FALSE))=0,"",VLOOKUP(A18,'Species List'!$A:$G,2,FALSE))</f>
        <v>#N/A</v>
      </c>
      <c r="C18" s="44">
        <v>1</v>
      </c>
      <c r="D18" s="99">
        <f t="shared" si="4"/>
        <v>1</v>
      </c>
      <c r="E18" s="44" t="s">
        <v>149</v>
      </c>
      <c r="F18" s="44" t="s">
        <v>147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4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3.6585365853658534E-2</v>
      </c>
      <c r="O18" s="98">
        <f t="shared" si="7"/>
        <v>3.6585365853658534E-2</v>
      </c>
    </row>
    <row r="19" spans="1:15" x14ac:dyDescent="0.2">
      <c r="A19" s="123" t="s">
        <v>4480</v>
      </c>
      <c r="B19" s="44" t="str">
        <f>IF(LEN(VLOOKUP(A19,'Species List'!$A:$G,2,FALSE))=0,"",VLOOKUP(A19,'Species List'!$A:$G,2,FALSE))</f>
        <v>early meadow-rue</v>
      </c>
      <c r="C19" s="44">
        <f>IF(LEN(VLOOKUP(A19,'Species List'!$A:$G,3,FALSE))=0,"",VLOOKUP(A19,'Species List'!$A:$G,3,FALSE))</f>
        <v>5</v>
      </c>
      <c r="D19" s="99">
        <f t="shared" si="4"/>
        <v>5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FACU+</v>
      </c>
      <c r="H19" s="44">
        <f>VLOOKUP(A19,'Species List'!$A:$G,7,FALSE)</f>
        <v>0</v>
      </c>
      <c r="J19" s="124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3.6585365853658534E-2</v>
      </c>
      <c r="O19" s="98">
        <f t="shared" si="7"/>
        <v>0.18292682926829268</v>
      </c>
    </row>
    <row r="20" spans="1:15" x14ac:dyDescent="0.2">
      <c r="A20" s="123" t="s">
        <v>5449</v>
      </c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4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3.6585365853658534E-2</v>
      </c>
      <c r="O20" s="98" t="e">
        <f t="shared" si="7"/>
        <v>#N/A</v>
      </c>
    </row>
    <row r="21" spans="1:15" x14ac:dyDescent="0.2">
      <c r="A21" s="123" t="s">
        <v>2240</v>
      </c>
      <c r="B21" s="44" t="str">
        <f>IF(LEN(VLOOKUP(A21,'Species List'!$A:$G,2,FALSE))=0,"",VLOOKUP(A21,'Species List'!$A:$G,2,FALSE))</f>
        <v>white avens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24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3.6585365853658534E-2</v>
      </c>
      <c r="O21" s="98">
        <f t="shared" si="7"/>
        <v>7.3170731707317069E-2</v>
      </c>
    </row>
    <row r="22" spans="1:15" x14ac:dyDescent="0.2">
      <c r="A22" s="123" t="s">
        <v>2233</v>
      </c>
      <c r="B22" s="44" t="str">
        <f>IF(LEN(VLOOKUP(A22,'Species List'!$A:$G,2,FALSE))=0,"",VLOOKUP(A22,'Species List'!$A:$G,2,FALSE))</f>
        <v>wild geranium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4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3.6585365853658534E-2</v>
      </c>
      <c r="O22" s="98">
        <f t="shared" si="7"/>
        <v>0.14634146341463414</v>
      </c>
    </row>
    <row r="23" spans="1:15" x14ac:dyDescent="0.2">
      <c r="A23" s="123" t="s">
        <v>1365</v>
      </c>
      <c r="B23" s="44" t="str">
        <f>IF(LEN(VLOOKUP(A23,'Species List'!$A:$G,2,FALSE))=0,"",VLOOKUP(A23,'Species List'!$A:$G,2,FALSE))</f>
        <v>common enchanter's nightshade</v>
      </c>
      <c r="C23" s="44">
        <f>IF(LEN(VLOOKUP(A23,'Species List'!$A:$G,3,FALSE))=0,"",VLOOKUP(A23,'Species List'!$A:$G,3,FALSE))</f>
        <v>2</v>
      </c>
      <c r="D23" s="99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[FACU]</v>
      </c>
      <c r="H23" s="44">
        <f>VLOOKUP(A23,'Species List'!$A:$G,7,FALSE)</f>
        <v>0</v>
      </c>
      <c r="J23" s="124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3.6585365853658534E-2</v>
      </c>
      <c r="O23" s="98">
        <f t="shared" si="7"/>
        <v>7.3170731707317069E-2</v>
      </c>
    </row>
    <row r="24" spans="1:15" x14ac:dyDescent="0.2">
      <c r="A24" s="123" t="s">
        <v>4515</v>
      </c>
      <c r="B24" s="44" t="str">
        <f>IF(LEN(VLOOKUP(A24,'Species List'!$A:$G,2,FALSE))=0,"",VLOOKUP(A24,'Species List'!$A:$G,2,FALSE))</f>
        <v>western poison ivy</v>
      </c>
      <c r="C24" s="44">
        <f>IF(LEN(VLOOKUP(A24,'Species List'!$A:$G,3,FALSE))=0,"",VLOOKUP(A24,'Species List'!$A:$G,3,FALSE))</f>
        <v>1</v>
      </c>
      <c r="D24" s="99">
        <f t="shared" si="4"/>
        <v>1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24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3.6585365853658534E-2</v>
      </c>
      <c r="O24" s="98">
        <f t="shared" si="7"/>
        <v>3.6585365853658534E-2</v>
      </c>
    </row>
    <row r="25" spans="1:15" x14ac:dyDescent="0.2">
      <c r="A25" s="123" t="s">
        <v>270</v>
      </c>
      <c r="B25" s="44" t="str">
        <f>IF(LEN(VLOOKUP(A25,'Species List'!$A:$G,2,FALSE))=0,"",VLOOKUP(A25,'Species List'!$A:$G,2,FALSE))</f>
        <v>garlic mustard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124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3.6585365853658534E-2</v>
      </c>
      <c r="O25" s="98">
        <f t="shared" si="7"/>
        <v>0</v>
      </c>
    </row>
    <row r="26" spans="1:15" x14ac:dyDescent="0.2">
      <c r="A26" s="123" t="s">
        <v>199</v>
      </c>
      <c r="B26" s="44" t="str">
        <f>IF(LEN(VLOOKUP(A26,'Species List'!$A:$G,2,FALSE))=0,"",VLOOKUP(A26,'Species List'!$A:$G,2,FALSE))</f>
        <v>red baneberry</v>
      </c>
      <c r="C26" s="44">
        <f>IF(LEN(VLOOKUP(A26,'Species List'!$A:$G,3,FALSE))=0,"",VLOOKUP(A26,'Species List'!$A:$G,3,FALSE))</f>
        <v>7</v>
      </c>
      <c r="D26" s="99">
        <f t="shared" si="4"/>
        <v>7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4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3.6585365853658534E-2</v>
      </c>
      <c r="O26" s="98">
        <f t="shared" si="7"/>
        <v>0.25609756097560976</v>
      </c>
    </row>
    <row r="27" spans="1:15" x14ac:dyDescent="0.2">
      <c r="A27" s="123" t="s">
        <v>4507</v>
      </c>
      <c r="B27" s="44" t="str">
        <f>IF(LEN(VLOOKUP(A27,'Species List'!$A:$G,2,FALSE))=0,"",VLOOKUP(A27,'Species List'!$A:$G,2,FALSE))</f>
        <v>Japanese Hedge Parsley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24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3.6585365853658534E-2</v>
      </c>
      <c r="O27" s="98">
        <f t="shared" si="7"/>
        <v>0</v>
      </c>
    </row>
    <row r="28" spans="1:15" x14ac:dyDescent="0.2">
      <c r="A28" s="123" t="s">
        <v>3707</v>
      </c>
      <c r="B28" s="44" t="str">
        <f>IF(LEN(VLOOKUP(A28,'Species List'!$A:$G,2,FALSE))=0,"",VLOOKUP(A28,'Species List'!$A:$G,2,FALSE))</f>
        <v>kidney-leaved buttercup</v>
      </c>
      <c r="C28" s="44">
        <f>IF(LEN(VLOOKUP(A28,'Species List'!$A:$G,3,FALSE))=0,"",VLOOKUP(A28,'Species List'!$A:$G,3,FALSE))</f>
        <v>1</v>
      </c>
      <c r="D28" s="99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FACW-</v>
      </c>
      <c r="H28" s="44">
        <f>VLOOKUP(A28,'Species List'!$A:$G,7,FALSE)</f>
        <v>0</v>
      </c>
      <c r="J28" s="124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3.6585365853658534E-2</v>
      </c>
      <c r="O28" s="98">
        <f t="shared" si="7"/>
        <v>3.6585365853658534E-2</v>
      </c>
    </row>
    <row r="29" spans="1:15" x14ac:dyDescent="0.2">
      <c r="A29" s="123" t="s">
        <v>2846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5</v>
      </c>
      <c r="D29" s="99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4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3.6585365853658534E-2</v>
      </c>
      <c r="O29" s="98">
        <f t="shared" si="7"/>
        <v>0.18292682926829268</v>
      </c>
    </row>
    <row r="30" spans="1:15" x14ac:dyDescent="0.2">
      <c r="A30" s="123" t="s">
        <v>472</v>
      </c>
      <c r="B30" s="44" t="str">
        <f>IF(LEN(VLOOKUP(A30,'Species List'!$A:$G,2,FALSE))=0,"",VLOOKUP(A30,'Species List'!$A:$G,2,FALSE))</f>
        <v>Jack-in-the-pulpit</v>
      </c>
      <c r="C30" s="44">
        <f>IF(LEN(VLOOKUP(A30,'Species List'!$A:$G,3,FALSE))=0,"",VLOOKUP(A30,'Species List'!$A:$G,3,FALSE))</f>
        <v>4</v>
      </c>
      <c r="D30" s="99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FACW-</v>
      </c>
      <c r="H30" s="44">
        <f>VLOOKUP(A30,'Species List'!$A:$G,7,FALSE)</f>
        <v>0</v>
      </c>
      <c r="J30" s="124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3.6585365853658534E-2</v>
      </c>
      <c r="O30" s="98">
        <f t="shared" si="7"/>
        <v>0.14634146341463414</v>
      </c>
    </row>
    <row r="31" spans="1:15" x14ac:dyDescent="0.2">
      <c r="A31" s="123" t="s">
        <v>2845</v>
      </c>
      <c r="B31" s="44" t="str">
        <f>IF(LEN(VLOOKUP(A31,'Species List'!$A:$G,2,FALSE))=0,"",VLOOKUP(A31,'Species List'!$A:$G,2,FALSE))</f>
        <v>Canada mayflower</v>
      </c>
      <c r="C31" s="44">
        <f>IF(LEN(VLOOKUP(A31,'Species List'!$A:$G,3,FALSE))=0,"",VLOOKUP(A31,'Species List'!$A:$G,3,FALSE))</f>
        <v>5</v>
      </c>
      <c r="D31" s="99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</v>
      </c>
      <c r="H31" s="44">
        <f>VLOOKUP(A31,'Species List'!$A:$G,7,FALSE)</f>
        <v>0</v>
      </c>
      <c r="J31" s="124" t="s">
        <v>5409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100">
        <f t="shared" si="5"/>
        <v>0.5</v>
      </c>
      <c r="N31" s="98">
        <f t="shared" si="6"/>
        <v>6.0975609756097563E-3</v>
      </c>
      <c r="O31" s="98">
        <f t="shared" si="7"/>
        <v>3.048780487804878E-2</v>
      </c>
    </row>
    <row r="32" spans="1:15" x14ac:dyDescent="0.2">
      <c r="A32" s="123" t="s">
        <v>461</v>
      </c>
      <c r="B32" s="44" t="str">
        <f>IF(LEN(VLOOKUP(A32,'Species List'!$A:$G,2,FALSE))=0,"",VLOOKUP(A32,'Species List'!$A:$G,2,FALSE))</f>
        <v>common burdock</v>
      </c>
      <c r="C32" s="44">
        <f>IF(LEN(VLOOKUP(A32,'Species List'!$A:$G,3,FALSE))=0,"",VLOOKUP(A32,'Species List'!$A:$G,3,FALSE))</f>
        <v>0</v>
      </c>
      <c r="D32" s="99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24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98">
        <f t="shared" si="6"/>
        <v>6.0975609756097563E-3</v>
      </c>
      <c r="O32" s="98">
        <f t="shared" si="7"/>
        <v>0</v>
      </c>
    </row>
    <row r="33" spans="1:15" x14ac:dyDescent="0.2">
      <c r="A33" s="123" t="s">
        <v>234</v>
      </c>
      <c r="B33" s="44" t="str">
        <f>IF(LEN(VLOOKUP(A33,'Species List'!$A:$G,2,FALSE))=0,"",VLOOKUP(A33,'Species List'!$A:$G,2,FALSE))</f>
        <v>white snakeroot</v>
      </c>
      <c r="C33" s="44">
        <f>IF(LEN(VLOOKUP(A33,'Species List'!$A:$G,3,FALSE))=0,"",VLOOKUP(A33,'Species List'!$A:$G,3,FALSE))</f>
        <v>1</v>
      </c>
      <c r="D33" s="99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4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3.6585365853658534E-2</v>
      </c>
      <c r="O33" s="98">
        <f t="shared" si="7"/>
        <v>3.6585365853658534E-2</v>
      </c>
    </row>
    <row r="34" spans="1:15" x14ac:dyDescent="0.2">
      <c r="A34" s="123" t="s">
        <v>1973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2</v>
      </c>
      <c r="D34" s="99">
        <f t="shared" si="4"/>
        <v>2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24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3.6585365853658534E-2</v>
      </c>
      <c r="O34" s="98">
        <f t="shared" si="7"/>
        <v>7.3170731707317069E-2</v>
      </c>
    </row>
    <row r="35" spans="1:15" x14ac:dyDescent="0.2">
      <c r="A35" s="123" t="s">
        <v>4427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6</v>
      </c>
      <c r="D35" s="99">
        <f t="shared" si="4"/>
        <v>6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</v>
      </c>
      <c r="H35" s="44">
        <f>VLOOKUP(A35,'Species List'!$A:$G,7,FALSE)</f>
        <v>0</v>
      </c>
      <c r="J35" s="124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3.6585365853658534E-2</v>
      </c>
      <c r="O35" s="98">
        <f t="shared" si="7"/>
        <v>0.21951219512195119</v>
      </c>
    </row>
    <row r="36" spans="1:15" x14ac:dyDescent="0.2">
      <c r="A36" s="123" t="s">
        <v>3882</v>
      </c>
      <c r="B36" s="44" t="str">
        <f>IF(LEN(VLOOKUP(A36,'Species List'!$A:$G,2,FALSE))=0,"",VLOOKUP(A36,'Species List'!$A:$G,2,FALSE))</f>
        <v>tall coneflower</v>
      </c>
      <c r="C36" s="44">
        <f>IF(LEN(VLOOKUP(A36,'Species List'!$A:$G,3,FALSE))=0,"",VLOOKUP(A36,'Species List'!$A:$G,3,FALSE))</f>
        <v>6</v>
      </c>
      <c r="D36" s="99">
        <f t="shared" si="4"/>
        <v>6</v>
      </c>
      <c r="E36" s="44" t="str">
        <f>IF(LEN(VLOOKUP(A36,'Species List'!$A:$G,4,FALSE))=0,"",VLOOKUP(A36,'Species List'!$A:$G,4,FALSE))</f>
        <v/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124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3.6585365853658534E-2</v>
      </c>
      <c r="O36" s="98">
        <f t="shared" si="7"/>
        <v>0.21951219512195119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82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8"/>
      <c r="C7" s="148"/>
      <c r="D7" s="148"/>
      <c r="E7" s="14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5445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2121</v>
      </c>
      <c r="B12" s="44" t="str">
        <f>IF(LEN(VLOOKUP(A12,'Species List'!$A:$G,2,FALSE))=0,"",VLOOKUP(A12,'Species List'!$A:$G,2,FALSE))</f>
        <v>nodding fescue</v>
      </c>
      <c r="C12" s="44">
        <f>IF(LEN(VLOOKUP(A12,'Species List'!$A:$G,3,FALSE))=0,"",VLOOKUP(A12,'Species List'!$A:$G,3,FALSE))</f>
        <v>6</v>
      </c>
      <c r="D12" s="99">
        <f t="shared" ref="D12:D20" si="0">VALUE(C12)</f>
        <v>6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[FACU+]</v>
      </c>
      <c r="H12" s="44">
        <f>VLOOKUP(A12,'Species List'!$A:$G,7,FALSE)</f>
        <v>0</v>
      </c>
      <c r="J12" s="124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9">
        <f t="shared" ref="N12:N77" si="2">L12/$L$153</f>
        <v>0.25</v>
      </c>
      <c r="O12" s="109">
        <f t="shared" ref="O12:O78" si="3">D12*N12</f>
        <v>1.5</v>
      </c>
    </row>
    <row r="13" spans="1:15" x14ac:dyDescent="0.2">
      <c r="A13" s="123" t="s">
        <v>923</v>
      </c>
      <c r="B13" s="44" t="str">
        <f>IF(LEN(VLOOKUP(A13,'Species List'!$A:$G,2,FALSE))=0,"",VLOOKUP(A13,'Species List'!$A:$G,2,FALSE))</f>
        <v>charming sedge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4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0.25</v>
      </c>
      <c r="O13" s="109">
        <f t="shared" si="3"/>
        <v>0.5</v>
      </c>
    </row>
    <row r="14" spans="1:15" x14ac:dyDescent="0.2">
      <c r="A14" s="123" t="s">
        <v>5446</v>
      </c>
      <c r="B14" s="44" t="e">
        <f>IF(LEN(VLOOKUP(A14,'Species List'!$A:$G,2,FALSE))=0,"",VLOOKUP(A14,'Species List'!$A:$G,2,FALSE))</f>
        <v>#N/A</v>
      </c>
      <c r="C14" s="44">
        <v>3</v>
      </c>
      <c r="D14" s="99">
        <f t="shared" si="0"/>
        <v>3</v>
      </c>
      <c r="E14" s="44" t="s">
        <v>189</v>
      </c>
      <c r="F14" s="44" t="s">
        <v>147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4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8">
        <f t="shared" si="2"/>
        <v>0.25</v>
      </c>
      <c r="O14" s="108">
        <f t="shared" si="3"/>
        <v>0.75</v>
      </c>
    </row>
    <row r="15" spans="1:15" x14ac:dyDescent="0.2">
      <c r="A15" s="123" t="s">
        <v>1892</v>
      </c>
      <c r="B15" s="44" t="str">
        <f>IF(LEN(VLOOKUP(A15,'Species List'!$A:$G,2,FALSE))=0,"",VLOOKUP(A15,'Species List'!$A:$G,2,FALSE))</f>
        <v>Virginia wildrye</v>
      </c>
      <c r="C15" s="44">
        <f>IF(LEN(VLOOKUP(A15,'Species List'!$A:$G,3,FALSE))=0,"",VLOOKUP(A15,'Species List'!$A:$G,3,FALSE))</f>
        <v>4</v>
      </c>
      <c r="D15" s="99">
        <f t="shared" si="0"/>
        <v>4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124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0.25</v>
      </c>
      <c r="O15" s="98">
        <f t="shared" si="3"/>
        <v>1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12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2" t="s">
        <v>4837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16</v>
      </c>
      <c r="C4" s="102">
        <f>COUNTIF(Forbs!$F$12:$F$150,"Native")</f>
        <v>21</v>
      </c>
      <c r="D4" s="102">
        <f>COUNTIF(Grasses!$F$12:$F$151,"Native")</f>
        <v>4</v>
      </c>
      <c r="E4" s="102">
        <f>AVERAGE(B4:D4)</f>
        <v>13.666666666666666</v>
      </c>
      <c r="F4" s="102">
        <f>SUM(B4:D4)</f>
        <v>41</v>
      </c>
    </row>
    <row r="5" spans="1:6" ht="18" x14ac:dyDescent="0.25">
      <c r="A5" s="53" t="s">
        <v>4842</v>
      </c>
      <c r="B5" s="102">
        <f>COUNTIF(Woody!$F12:$F201,"Introduced")</f>
        <v>4</v>
      </c>
      <c r="C5" s="102">
        <f>COUNTIF(Forbs!$F12:$F201,"Introduced")</f>
        <v>3</v>
      </c>
      <c r="D5" s="102">
        <f>COUNTIF(Grasses!$F12:$F201,"Introduced")</f>
        <v>0</v>
      </c>
      <c r="E5" s="102">
        <f t="shared" ref="E5:E6" si="0">AVERAGE(B5:D5)</f>
        <v>2.3333333333333335</v>
      </c>
      <c r="F5" s="102">
        <f>SUM(B5:D5)</f>
        <v>7</v>
      </c>
    </row>
    <row r="6" spans="1:6" s="81" customFormat="1" ht="21" x14ac:dyDescent="0.35">
      <c r="A6" s="53" t="s">
        <v>5411</v>
      </c>
      <c r="B6" s="102">
        <f>SUM(B4:B5)</f>
        <v>20</v>
      </c>
      <c r="C6" s="102">
        <f>SUM(C4:C5)</f>
        <v>24</v>
      </c>
      <c r="D6" s="102">
        <f>SUM(D4:D5)</f>
        <v>4</v>
      </c>
      <c r="E6" s="102">
        <f t="shared" si="0"/>
        <v>16</v>
      </c>
      <c r="F6" s="102">
        <f>SUM(B6:D6)</f>
        <v>48</v>
      </c>
    </row>
    <row r="7" spans="1:6" ht="18" x14ac:dyDescent="0.25">
      <c r="A7" s="53" t="s">
        <v>4843</v>
      </c>
      <c r="B7" s="102">
        <f>AVERAGEIF(Woody!D12:D152,"&gt;0")</f>
        <v>3.3125</v>
      </c>
      <c r="C7" s="102">
        <f>AVERAGEIF(Forbs!D12:D152,"&gt;0")</f>
        <v>3.4761904761904763</v>
      </c>
      <c r="D7" s="102">
        <f>AVERAGEIF(Grasses!D12:D152,"&gt;0")</f>
        <v>3.75</v>
      </c>
      <c r="E7" s="102">
        <f>AVERAGE(B7:D7)</f>
        <v>3.5128968253968256</v>
      </c>
      <c r="F7" s="102">
        <f>(SUMIF(Woody!D12:D152,"&gt;0")+SUMIF(Forbs!D12:D152,"&gt;0")+SUMIF(Grasses!D12:D152,"&gt;0"))/(COUNTIF(Woody!D12:D152,"&gt;0")+COUNTIF(Forbs!D12:D152,"&gt;0")+COUNTIF(Grasses!D12:D152,"&gt;0"))</f>
        <v>3.4390243902439024</v>
      </c>
    </row>
    <row r="8" spans="1:6" s="31" customFormat="1" ht="21" x14ac:dyDescent="0.35">
      <c r="A8" s="53" t="s">
        <v>5412</v>
      </c>
      <c r="B8" s="102">
        <f>AVERAGEIF(Woody!D12:D152,"&gt;=0")</f>
        <v>2.65</v>
      </c>
      <c r="C8" s="102">
        <f>AVERAGEIF(Forbs!D12:D152,"&gt;=0")</f>
        <v>3.0416666666666665</v>
      </c>
      <c r="D8" s="102">
        <f>AVERAGEIF(Grasses!D12:D152,"&gt;=0")</f>
        <v>3.75</v>
      </c>
      <c r="E8" s="102">
        <f>AVERAGE(B8:D8)</f>
        <v>3.1472222222222221</v>
      </c>
      <c r="F8" s="102">
        <f>(SUMIF(Woody!D12:D152,"&gt;=0")+SUMIF(Forbs!D12:D152,"&gt;=0")+SUMIF(Grasses!D12:D152,"&gt;=0"))/(COUNTIF(Woody!D12:D152,"&gt;=0")+COUNTIF(Forbs!D12:D152,"&gt;=0")+COUNTIF(Grasses!D12:D152,"&gt;=0"))</f>
        <v>2.9375</v>
      </c>
    </row>
    <row r="9" spans="1:6" ht="18" x14ac:dyDescent="0.25">
      <c r="A9" s="53" t="s">
        <v>4836</v>
      </c>
      <c r="B9" s="102">
        <f>SQRT(B4)*B7</f>
        <v>13.25</v>
      </c>
      <c r="C9" s="102">
        <f>SQRT(C4)*C7</f>
        <v>15.929905987227444</v>
      </c>
      <c r="D9" s="102">
        <f>SQRT(D4)*D7</f>
        <v>7.5</v>
      </c>
      <c r="E9" s="102">
        <f>SQRT(E4)*E7</f>
        <v>12.986636828437746</v>
      </c>
      <c r="F9" s="102">
        <f>SQRT(F4)*F7</f>
        <v>22.020500426293456</v>
      </c>
    </row>
    <row r="10" spans="1:6" s="82" customFormat="1" ht="21" x14ac:dyDescent="0.35">
      <c r="A10" s="53" t="s">
        <v>5413</v>
      </c>
      <c r="B10" s="102">
        <f>SQRT(B6)*B8</f>
        <v>11.851160280748886</v>
      </c>
      <c r="C10" s="102">
        <f>SQRT(C6)*C8</f>
        <v>14.901062601930999</v>
      </c>
      <c r="D10" s="102">
        <f>SQRT(D6)*D8</f>
        <v>7.5</v>
      </c>
      <c r="E10" s="102">
        <f>SQRT(E6)*E8</f>
        <v>12.588888888888889</v>
      </c>
      <c r="F10" s="102">
        <f>SQRT(F6)*F8</f>
        <v>20.351596988934308</v>
      </c>
    </row>
    <row r="11" spans="1:6" ht="18" x14ac:dyDescent="0.25">
      <c r="A11" s="53" t="s">
        <v>4844</v>
      </c>
      <c r="B11" s="102">
        <f>SUMIF(Woody!$M$12:$M$152,"&gt;=0")</f>
        <v>216</v>
      </c>
      <c r="C11" s="102">
        <f>SUMIF(Forbs!$M$12:$M$153,"&gt;=0")</f>
        <v>82</v>
      </c>
      <c r="D11" s="102">
        <f>SUMIF(Grasses!$M$12:$M$152,"&gt;=0")</f>
        <v>12</v>
      </c>
      <c r="E11" s="102">
        <f>AVERAGE(B11:D11)</f>
        <v>103.33333333333333</v>
      </c>
      <c r="F11" s="102">
        <f>SUM(B11:D11)</f>
        <v>310</v>
      </c>
    </row>
    <row r="12" spans="1:6" ht="18" x14ac:dyDescent="0.25">
      <c r="A12" s="53" t="s">
        <v>5377</v>
      </c>
      <c r="B12" s="102">
        <f>SUMIF(Woody!$F$12:$F$152,"Introduced",Woody!$L$12:$L$152)</f>
        <v>19</v>
      </c>
      <c r="C12" s="102">
        <f>SUMIF(Forbs!$F$12:$F$153,"Introduced",Forbs!$L$12:$L$153)</f>
        <v>6.5</v>
      </c>
      <c r="D12" s="102">
        <f>SUMIF(Grasses!$F$12:$F$152,"Introduced",Grasses!$L$12:$L$152)</f>
        <v>0</v>
      </c>
      <c r="E12" s="102">
        <f>AVERAGE(B12:D12)</f>
        <v>8.5</v>
      </c>
      <c r="F12" s="102">
        <f>SUM(B12:D12)</f>
        <v>25.5</v>
      </c>
    </row>
    <row r="13" spans="1:6" ht="18.75" thickBot="1" x14ac:dyDescent="0.3">
      <c r="A13" s="54" t="s">
        <v>4845</v>
      </c>
      <c r="B13" s="103">
        <f>B12/B11</f>
        <v>8.7962962962962965E-2</v>
      </c>
      <c r="C13" s="103">
        <f>C12/C11</f>
        <v>7.926829268292683E-2</v>
      </c>
      <c r="D13" s="103">
        <f>D12/D11</f>
        <v>0</v>
      </c>
      <c r="E13" s="103">
        <f>E12/E11</f>
        <v>8.2258064516129034E-2</v>
      </c>
      <c r="F13" s="103">
        <f>F12/F11</f>
        <v>8.2258064516129034E-2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3.1319444444444442</v>
      </c>
      <c r="C15" s="101">
        <f>SUMIF(Forbs!$O$12:$O$152,"&gt;=0")</f>
        <v>2.8109756097560981</v>
      </c>
      <c r="D15" s="101">
        <f>SUMIF(Grasses!$O$12:$O$152,"&gt;=0")</f>
        <v>3.75</v>
      </c>
      <c r="E15" s="101">
        <f>AVERAGE(B15:D15)</f>
        <v>3.2309733514001806</v>
      </c>
      <c r="F15" s="102">
        <f>SUM(B15:D15)</f>
        <v>9.6929200542005418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2023-01-27T17:24:38Z</dcterms:modified>
</cp:coreProperties>
</file>