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13_ncr:1_{CDDE4EE5-F359-4ED4-9C14-A7B128464284}" xr6:coauthVersionLast="45" xr6:coauthVersionMax="45" xr10:uidLastSave="{00000000-0000-0000-0000-000000000000}"/>
  <bookViews>
    <workbookView xWindow="-12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D26" i="10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<sst xmlns="http://schemas.openxmlformats.org/spreadsheetml/2006/main" count="13162" uniqueCount="5450">
  <si>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</si>
  <si>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</si>
  <si>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</si>
  <si>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</si>
  <si>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</si>
  <si>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</si>
  <si>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</si>
  <si>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</si>
  <si>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</si>
  <si>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</si>
  <si>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</si>
  <si>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</si>
  <si>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</si>
  <si>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</si>
  <si>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</si>
  <si>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</si>
  <si>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</si>
  <si>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</si>
  <si>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</si>
  <si>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</si>
  <si>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</si>
  <si>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</si>
  <si>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</si>
  <si>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</si>
  <si>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</si>
  <si>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</si>
  <si>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</si>
  <si>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</si>
  <si>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</si>
  <si>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</si>
  <si>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</si>
  <si>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</si>
  <si>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</si>
  <si>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</si>
  <si>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</si>
  <si>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</si>
  <si>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</si>
  <si>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</si>
  <si>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</si>
  <si>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</si>
  <si>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</si>
  <si>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</si>
  <si>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</si>
  <si>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</si>
  <si>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</si>
  <si>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</si>
  <si>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</si>
  <si>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</si>
  <si>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</si>
  <si>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</si>
  <si>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</si>
  <si>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</si>
  <si>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</si>
  <si>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</si>
  <si>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</si>
  <si>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</si>
  <si>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</si>
  <si>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</si>
  <si>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</si>
  <si>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</si>
  <si>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</si>
  <si>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</si>
  <si>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</si>
  <si>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</si>
  <si>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</si>
  <si>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</si>
  <si>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</si>
  <si>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</si>
  <si>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</si>
  <si>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</si>
  <si>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</si>
  <si>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</si>
  <si>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</si>
  <si>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</si>
  <si>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</si>
  <si>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</si>
  <si>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</si>
  <si>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</si>
  <si>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</si>
  <si>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</si>
  <si>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</si>
  <si>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</si>
  <si>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</si>
  <si>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</si>
  <si>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</si>
  <si>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</si>
  <si>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</si>
  <si>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</si>
  <si>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</si>
  <si>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</si>
  <si>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</si>
  <si>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</si>
  <si>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</si>
  <si>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</si>
  <si>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</si>
  <si>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</si>
  <si>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</si>
  <si>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</si>
  <si>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</si>
  <si>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</si>
  <si>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</si>
  <si>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</si>
  <si>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</si>
  <si>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</si>
  <si>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</si>
  <si>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</si>
  <si>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</si>
  <si>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</si>
  <si>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</si>
  <si>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</si>
  <si>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</si>
  <si>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</si>
  <si>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</si>
  <si>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</si>
  <si>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</si>
  <si>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</si>
  <si>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</si>
  <si>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</si>
  <si>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</si>
  <si>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</si>
  <si>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</si>
  <si>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</si>
  <si>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</si>
  <si>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</si>
  <si>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</si>
  <si>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</si>
  <si>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</si>
  <si>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</si>
  <si>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</si>
  <si>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</si>
  <si>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</si>
  <si>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</si>
  <si>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</si>
  <si>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</si>
  <si>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</si>
  <si>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</si>
  <si>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</si>
  <si>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</si>
  <si>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</si>
  <si>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</si>
  <si>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</si>
  <si>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</si>
  <si>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</si>
  <si>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</si>
  <si>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</si>
  <si>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</si>
  <si>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</si>
  <si>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</si>
  <si>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</si>
  <si>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</si>
  <si>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</si>
  <si>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</si>
  <si>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</si>
  <si>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</si>
  <si>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</si>
  <si>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</si>
  <si>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</si>
  <si>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</si>
  <si>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</si>
  <si>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</si>
  <si>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</si>
  <si>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</si>
  <si>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</si>
  <si>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</si>
  <si>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</si>
  <si>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</si>
  <si>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</si>
  <si>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</si>
  <si>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</si>
  <si>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</si>
  <si>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</si>
  <si>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</si>
  <si>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</si>
  <si>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</si>
  <si>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</si>
  <si>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</si>
  <si>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</si>
  <si>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</si>
  <si>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</si>
  <si>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</si>
  <si>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</si>
  <si>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</si>
  <si>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</si>
  <si>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</si>
  <si>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</si>
  <si>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</si>
  <si>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</si>
  <si>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</si>
  <si>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</si>
  <si>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</si>
  <si>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</si>
  <si>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</si>
  <si>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</si>
  <si>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</si>
  <si>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</si>
  <si>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</si>
  <si>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</si>
  <si>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</si>
  <si>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</si>
  <si>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</si>
  <si>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</si>
  <si>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</si>
  <si>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</si>
  <si>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</si>
  <si>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</si>
  <si>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</si>
  <si>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</si>
  <si>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</si>
  <si>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</si>
  <si>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</si>
  <si>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</si>
  <si>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</si>
  <si>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</si>
  <si>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</si>
  <si>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</si>
  <si>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</si>
  <si>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</si>
  <si>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</si>
  <si>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</si>
  <si>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</si>
  <si>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</si>
  <si>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</si>
  <si>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</si>
  <si>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</si>
  <si>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</si>
  <si>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</si>
  <si>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</si>
  <si>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</si>
  <si>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</si>
  <si>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</si>
  <si>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</si>
  <si>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</si>
  <si>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</si>
  <si>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</si>
  <si>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</si>
  <si>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</si>
  <si>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</si>
  <si>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</si>
  <si>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</si>
  <si>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</si>
  <si>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</si>
  <si>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</si>
  <si>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</si>
  <si>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</si>
  <si>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</si>
  <si>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</si>
  <si>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</si>
  <si>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</si>
  <si>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</si>
  <si>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</si>
  <si>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</si>
  <si>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</si>
  <si>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</si>
  <si>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</si>
  <si>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</si>
  <si>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</si>
  <si>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</si>
  <si>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</si>
  <si>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</si>
  <si>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</si>
  <si>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</si>
  <si>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</si>
  <si>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</si>
  <si>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</si>
  <si>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</si>
  <si>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</si>
  <si>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</si>
  <si>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</si>
  <si>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</si>
  <si>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</si>
  <si>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</si>
  <si>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</si>
  <si>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</si>
  <si>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</si>
  <si>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</si>
  <si>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</si>
  <si>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</si>
  <si>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</si>
  <si>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</si>
  <si>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</si>
  <si>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</si>
  <si>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</si>
  <si>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</si>
  <si>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</si>
  <si>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</si>
  <si>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</si>
  <si>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</si>
  <si>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</si>
  <si>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</si>
  <si>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</si>
  <si>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</si>
  <si>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</si>
  <si>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</si>
  <si>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</si>
  <si>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</si>
  <si>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</si>
  <si>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</si>
  <si>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</si>
  <si>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</si>
  <si>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</si>
  <si>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</si>
  <si>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</si>
  <si>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</si>
  <si>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</si>
  <si>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</si>
  <si>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</si>
  <si>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</si>
  <si>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</si>
  <si>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</si>
  <si>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</si>
  <si>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</si>
  <si>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</si>
  <si>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</si>
  <si>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</si>
  <si>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</si>
  <si>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</si>
  <si>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</si>
  <si>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</si>
  <si>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</si>
  <si>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</si>
  <si>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</si>
  <si>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</si>
  <si>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</si>
  <si>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</si>
  <si>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</si>
  <si>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</si>
  <si>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</si>
  <si>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</si>
  <si>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</si>
  <si>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</si>
  <si>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</si>
  <si>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</si>
  <si>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</si>
  <si>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</si>
  <si>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</si>
  <si>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</si>
  <si>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</si>
  <si>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</si>
  <si>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</si>
  <si>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</si>
  <si>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</si>
  <si>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</si>
  <si>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</si>
  <si>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</si>
  <si>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</si>
  <si>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</si>
  <si>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</si>
  <si>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</si>
  <si>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</si>
  <si>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</si>
  <si>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</si>
  <si>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</si>
  <si>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</si>
  <si>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</si>
  <si>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</si>
  <si>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</si>
  <si>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</si>
  <si>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</si>
  <si>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</si>
  <si>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</si>
  <si>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</si>
  <si>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</si>
  <si>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</si>
  <si>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</si>
  <si>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</si>
  <si>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</si>
  <si>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</si>
  <si>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</si>
  <si>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</si>
  <si>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</si>
  <si>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</si>
  <si>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</si>
  <si>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</si>
  <si>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</si>
  <si>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</si>
  <si>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</si>
  <si>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</si>
  <si>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</si>
  <si>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</si>
  <si>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</si>
  <si>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</si>
  <si>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</si>
  <si>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</si>
  <si>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</si>
  <si>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</si>
  <si>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</si>
  <si>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</si>
  <si>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</si>
  <si>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</si>
  <si>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</si>
  <si>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</si>
  <si>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</si>
  <si>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</si>
  <si>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</si>
  <si>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</si>
  <si>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</si>
  <si>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</si>
  <si>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</si>
  <si>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</si>
  <si>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</si>
  <si>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</si>
  <si>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</si>
  <si>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</si>
  <si>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</si>
  <si>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</si>
  <si>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</si>
  <si>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</si>
  <si>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</si>
  <si>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</si>
  <si>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</si>
  <si>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</si>
  <si>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</si>
  <si>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</si>
  <si>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</si>
  <si>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</si>
  <si>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</si>
  <si>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</si>
  <si>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</si>
  <si>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</si>
  <si>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</si>
  <si>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</si>
  <si>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</si>
  <si>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</si>
  <si>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</si>
  <si>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</si>
  <si>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</si>
  <si>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</si>
  <si>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</si>
  <si>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</si>
  <si>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</si>
  <si>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</si>
  <si>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</si>
  <si>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</si>
  <si>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</si>
  <si>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</si>
  <si>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</si>
  <si>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</si>
  <si>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</si>
  <si>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</si>
  <si>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</si>
  <si>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</si>
  <si>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</si>
  <si>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</si>
  <si>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</si>
  <si>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</si>
  <si>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</si>
  <si>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</si>
  <si>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</si>
  <si>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</si>
  <si>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</si>
  <si>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</si>
  <si>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</si>
  <si>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</si>
  <si>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</si>
  <si>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</si>
  <si>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</si>
  <si>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</si>
  <si>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</si>
  <si>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</si>
  <si>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</si>
  <si>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</si>
  <si>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</si>
  <si>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</si>
  <si>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</si>
  <si>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</si>
  <si>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</si>
  <si>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</si>
  <si>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</si>
  <si>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</si>
  <si>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</si>
  <si>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</si>
  <si>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</si>
  <si>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</si>
  <si>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</si>
  <si>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</si>
  <si>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</si>
  <si>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</si>
  <si>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</si>
  <si>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</si>
  <si>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</si>
  <si>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</si>
  <si>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</si>
  <si>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</si>
  <si>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</si>
  <si>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</si>
  <si>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</si>
  <si>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</si>
  <si>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</si>
  <si>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</si>
  <si>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</si>
  <si>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</si>
  <si>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</si>
  <si>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</si>
  <si>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</si>
  <si>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</si>
  <si>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</si>
  <si>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</si>
  <si>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</si>
  <si>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</si>
  <si>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</si>
  <si>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</si>
  <si>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</si>
  <si>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</si>
  <si>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</si>
  <si>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</si>
  <si>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</si>
  <si>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</si>
  <si>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</si>
  <si>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</si>
  <si>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</si>
  <si>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</si>
  <si>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</si>
  <si>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</si>
  <si>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</si>
  <si>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</si>
  <si>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</si>
  <si>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</si>
  <si>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</si>
  <si>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</si>
  <si>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</si>
  <si>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</si>
  <si>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</si>
  <si>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</si>
  <si>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</si>
  <si>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</si>
  <si>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</si>
  <si>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</si>
  <si>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</si>
  <si>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</si>
  <si>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</si>
  <si>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</si>
  <si>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</si>
  <si>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</si>
  <si>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</si>
  <si>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</si>
  <si>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</si>
  <si>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</si>
  <si>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</si>
  <si>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</si>
  <si>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</si>
  <si>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</si>
  <si>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</si>
  <si>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</si>
  <si>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</si>
  <si>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</si>
  <si>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</si>
  <si>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</si>
  <si>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</si>
  <si>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</si>
  <si>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</si>
  <si>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</si>
  <si>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</si>
  <si>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</si>
  <si>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</si>
  <si>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</si>
  <si>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</si>
  <si>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</si>
  <si>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</si>
  <si>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</si>
  <si>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</si>
  <si>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</si>
  <si>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</si>
  <si>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</si>
  <si>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</si>
  <si>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</si>
  <si>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</si>
  <si>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</si>
  <si>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</si>
  <si>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</si>
  <si>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</si>
  <si>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</si>
  <si>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</si>
  <si>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</si>
  <si>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</si>
  <si>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</si>
  <si>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</si>
  <si>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</si>
  <si>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</si>
  <si>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</si>
  <si>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</si>
  <si>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</si>
  <si>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</si>
  <si>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</si>
  <si>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</si>
  <si>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</si>
  <si>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</si>
  <si>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</si>
  <si>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</si>
  <si>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</si>
  <si>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</si>
  <si>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</si>
  <si>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</si>
  <si>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</si>
  <si>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</si>
  <si>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</si>
  <si>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</si>
  <si>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</si>
  <si>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</si>
  <si>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</si>
  <si>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</si>
  <si>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</si>
  <si>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</si>
  <si>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</si>
  <si>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</si>
  <si>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</si>
  <si>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</si>
  <si>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</si>
  <si>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</si>
  <si>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</si>
  <si>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</si>
  <si>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</si>
  <si>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</si>
  <si>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</si>
  <si>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</si>
  <si>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</si>
  <si>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</si>
  <si>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</si>
  <si>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</si>
  <si>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</si>
  <si>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</si>
  <si>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</si>
  <si>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</si>
  <si>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</si>
  <si>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</si>
  <si>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</si>
  <si>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</si>
  <si>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</si>
  <si>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</si>
  <si>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</si>
  <si>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</si>
  <si>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</si>
  <si>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</si>
  <si>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</si>
  <si>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</si>
  <si>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</si>
  <si>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</si>
  <si>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</si>
  <si>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</si>
  <si>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</si>
  <si>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</si>
  <si>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</si>
  <si>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</si>
  <si>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</si>
  <si>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</si>
  <si>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</si>
  <si>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</si>
  <si>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</si>
  <si>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</si>
  <si>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</si>
  <si>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</si>
  <si>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</si>
  <si>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</si>
  <si>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</si>
  <si>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</si>
  <si>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</si>
  <si>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</si>
  <si>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</si>
  <si>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</si>
  <si>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</si>
  <si>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</si>
  <si>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</si>
  <si>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</si>
  <si>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</si>
  <si>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</si>
  <si>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</si>
  <si>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</si>
  <si>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</si>
  <si>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</si>
  <si>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</si>
  <si>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</si>
  <si>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</si>
  <si>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</si>
  <si>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</si>
  <si>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</si>
  <si>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</si>
  <si>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</si>
  <si>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</si>
  <si>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</si>
  <si>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</si>
  <si>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</si>
  <si>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</si>
  <si>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</si>
  <si>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</si>
  <si>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</si>
  <si>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</si>
  <si>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</si>
  <si>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</si>
  <si>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</si>
  <si>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</si>
  <si>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</si>
  <si>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</si>
  <si>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</si>
  <si>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</si>
  <si>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</si>
  <si>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</si>
  <si>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</si>
  <si>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</si>
  <si>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</si>
  <si>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</si>
  <si>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</si>
  <si>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</si>
  <si>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</si>
  <si>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</si>
  <si>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</si>
  <si>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</si>
  <si>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</si>
  <si>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</si>
  <si>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</si>
  <si>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</si>
  <si>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</si>
  <si>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</si>
  <si>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</si>
  <si>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</si>
  <si>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</si>
  <si>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</si>
  <si>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</si>
  <si>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</si>
  <si>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</si>
  <si>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</si>
  <si>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</si>
  <si>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</si>
  <si>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</si>
  <si>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</si>
  <si>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</si>
  <si>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</si>
  <si>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</si>
  <si>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</si>
  <si>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</si>
  <si>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</si>
  <si>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</si>
  <si>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</si>
  <si>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</si>
  <si>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</si>
  <si>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</si>
  <si>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</si>
  <si>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</si>
  <si>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</si>
  <si>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</si>
  <si>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</si>
  <si>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</si>
  <si>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</si>
  <si>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</si>
  <si>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</si>
  <si>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</si>
  <si>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</si>
  <si>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</si>
  <si>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</si>
  <si>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</si>
  <si>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</si>
  <si>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</si>
  <si>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</si>
  <si>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</si>
  <si>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</si>
  <si>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</si>
  <si>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</si>
  <si>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</si>
  <si>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</si>
  <si>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</si>
  <si>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</si>
  <si>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</si>
  <si>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</si>
  <si>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</si>
  <si>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</si>
  <si>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</si>
  <si>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</si>
  <si>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</si>
  <si>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</si>
  <si>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</si>
  <si>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</si>
  <si>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</si>
  <si>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</si>
  <si>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</si>
  <si>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</si>
  <si>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</si>
  <si>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</si>
  <si>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</si>
  <si>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</si>
  <si>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</si>
  <si>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</si>
  <si>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</si>
  <si>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</si>
  <si>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</si>
  <si>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</si>
  <si>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</si>
  <si>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</si>
  <si>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</si>
  <si>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</si>
  <si>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</si>
  <si>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</si>
  <si>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</si>
  <si>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</si>
  <si>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</si>
  <si>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</si>
  <si>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</si>
  <si>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</si>
  <si>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</si>
  <si>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</si>
  <si>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</si>
  <si>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</si>
  <si>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</si>
  <si>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</si>
  <si>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</si>
  <si>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</si>
  <si>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</si>
  <si>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</si>
  <si>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</si>
  <si>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</si>
  <si>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</si>
  <si>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</si>
  <si>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</si>
  <si>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</si>
  <si>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</si>
  <si>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</si>
  <si>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</si>
  <si>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</si>
  <si>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</si>
  <si>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</si>
  <si>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</si>
  <si>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</si>
  <si>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</si>
  <si>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</si>
  <si>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</si>
  <si>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</si>
  <si>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</si>
  <si>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</si>
  <si>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</si>
  <si>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</si>
  <si>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</si>
  <si>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</si>
  <si>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</si>
  <si>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</si>
  <si>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</si>
  <si>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</si>
  <si>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</si>
  <si>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</si>
  <si>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</si>
  <si>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</si>
  <si>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</si>
  <si>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</si>
  <si>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</si>
  <si>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</si>
  <si>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</si>
  <si>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</si>
  <si>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</si>
  <si>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</si>
  <si>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</si>
  <si>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</si>
  <si>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</si>
  <si>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</si>
  <si>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</si>
  <si>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</si>
  <si>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</si>
  <si>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</si>
  <si>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</si>
  <si>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</si>
  <si>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</si>
  <si>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</si>
  <si>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</si>
  <si>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</si>
  <si>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</si>
  <si>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</si>
  <si>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</si>
  <si>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</si>
  <si>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</si>
  <si>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</si>
  <si>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</si>
  <si>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</si>
  <si>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</si>
  <si>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</si>
  <si>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</si>
  <si>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</si>
  <si>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</si>
  <si>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</si>
  <si>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</si>
  <si>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</si>
  <si>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</si>
  <si>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</si>
  <si>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</si>
  <si>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</si>
  <si>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</si>
  <si>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</si>
  <si>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</si>
  <si>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</si>
  <si>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</si>
  <si>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</si>
  <si>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</si>
  <si>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</si>
  <si>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</si>
  <si>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</si>
  <si>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</si>
  <si>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</si>
  <si>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</si>
  <si>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</si>
  <si>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</si>
  <si>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</si>
  <si>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</si>
  <si>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</si>
  <si>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</si>
  <si>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</si>
  <si>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</si>
  <si>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</si>
  <si>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</si>
  <si>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</si>
  <si>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</si>
  <si>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</si>
  <si>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</si>
  <si>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</si>
  <si>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</si>
  <si>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</si>
  <si>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</si>
  <si>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</si>
  <si>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</si>
  <si>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</si>
  <si>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</si>
  <si>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</si>
  <si>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</si>
  <si>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</si>
  <si>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</si>
  <si>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</si>
  <si>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</si>
  <si>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</si>
  <si>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</si>
  <si>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</si>
  <si>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</si>
  <si>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</si>
  <si>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</si>
  <si>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</si>
  <si>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</si>
  <si>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</si>
  <si>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</si>
  <si>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</si>
  <si>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</si>
  <si>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</si>
  <si>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</si>
  <si>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</si>
  <si>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</si>
  <si>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</si>
  <si>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</si>
  <si>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</si>
  <si>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</si>
  <si>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</si>
  <si>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</si>
  <si>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</si>
  <si>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</si>
  <si>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</si>
  <si>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</si>
  <si>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</si>
  <si>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</si>
  <si>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</si>
  <si>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</si>
  <si>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</si>
  <si>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</si>
  <si>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</si>
  <si>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</si>
  <si>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</si>
  <si>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</si>
  <si>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</si>
  <si>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</si>
  <si>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</si>
  <si>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</si>
  <si>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</si>
  <si>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</si>
  <si>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</si>
  <si>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</si>
  <si>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</si>
  <si>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</si>
  <si>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</si>
  <si>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</si>
  <si>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</si>
  <si>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</si>
  <si>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</si>
  <si>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</si>
  <si>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</si>
  <si>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</si>
  <si>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</si>
  <si>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</si>
  <si>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</si>
  <si>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</si>
  <si>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</si>
  <si>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</si>
  <si>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</si>
  <si>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</si>
  <si>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</si>
  <si>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</si>
  <si>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</si>
  <si>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</si>
  <si>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</si>
  <si>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</si>
  <si>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</si>
  <si>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</si>
  <si>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</si>
  <si>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</si>
  <si>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</si>
  <si>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</si>
  <si>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</si>
  <si>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</si>
  <si>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</si>
  <si>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</si>
  <si>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</si>
  <si>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</si>
  <si>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</si>
  <si>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</si>
  <si>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</si>
  <si>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</si>
  <si>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</si>
  <si>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</si>
  <si>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</si>
  <si>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</si>
  <si>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</si>
  <si>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</si>
  <si>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</si>
  <si>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</si>
  <si>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</si>
  <si>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</si>
  <si>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</si>
  <si>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</si>
  <si>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</si>
  <si>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</si>
  <si>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</si>
  <si>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</si>
  <si>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</si>
  <si>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</si>
  <si>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</si>
  <si>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</si>
  <si>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</si>
  <si>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</si>
  <si>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</si>
  <si>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</si>
  <si>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</si>
  <si>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</si>
  <si>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</si>
  <si>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</si>
  <si>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</si>
  <si>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</si>
  <si>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</si>
  <si>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</si>
  <si>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</si>
  <si>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</si>
  <si>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</si>
  <si>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</si>
  <si>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</si>
  <si>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</si>
  <si>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</si>
  <si>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</si>
  <si>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</si>
  <si>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</si>
  <si>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</si>
  <si>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</si>
  <si>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</si>
  <si>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</si>
  <si>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</si>
  <si>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</si>
  <si>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</si>
  <si>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</si>
  <si>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</si>
  <si>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</si>
  <si>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</si>
  <si>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</si>
  <si>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</si>
  <si>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</si>
  <si>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</si>
  <si>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</si>
  <si>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</si>
  <si>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</si>
  <si>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</si>
  <si>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</si>
  <si>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</si>
  <si>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</si>
  <si>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</si>
  <si>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</si>
  <si>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</si>
  <si>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</si>
  <si>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</si>
  <si>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</si>
  <si>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</si>
  <si>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</si>
  <si>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</si>
  <si>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</si>
  <si>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</si>
  <si>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</si>
  <si>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</si>
  <si>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</si>
  <si>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</si>
  <si>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</si>
  <si>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</si>
  <si>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</si>
  <si>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</si>
  <si>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</si>
  <si>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</si>
  <si>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</si>
  <si>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</si>
  <si>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</si>
  <si>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</si>
  <si>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</si>
  <si>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</si>
  <si>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</si>
  <si>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</si>
  <si>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</si>
  <si>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</si>
  <si>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</si>
  <si>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</si>
  <si>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</si>
  <si>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</si>
  <si>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</si>
  <si>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</si>
  <si>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</si>
  <si>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</si>
  <si>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</si>
  <si>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</si>
  <si>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</si>
  <si>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</si>
  <si>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</si>
  <si>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</si>
  <si>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</si>
  <si>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</si>
  <si>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</si>
  <si>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</si>
  <si>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</si>
  <si>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</si>
  <si>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</si>
  <si>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</si>
  <si>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</si>
  <si>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</si>
  <si>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</si>
  <si>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</si>
  <si>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</si>
  <si>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</si>
  <si>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</si>
  <si>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</si>
  <si>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</si>
  <si>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</si>
  <si>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</si>
  <si>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</si>
  <si>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</si>
  <si>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</si>
  <si>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</si>
  <si>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</si>
  <si>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</si>
  <si>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</si>
  <si>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</si>
  <si>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</si>
  <si>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</si>
  <si>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</si>
  <si>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</si>
  <si>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</si>
  <si>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</si>
  <si>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</si>
  <si>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</si>
  <si>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</si>
  <si>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</si>
  <si>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</si>
  <si>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</si>
  <si>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</si>
  <si>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</si>
  <si>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</si>
  <si>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</si>
  <si>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</si>
  <si>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</si>
  <si>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</si>
  <si>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</si>
  <si>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</si>
  <si>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</si>
  <si>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</si>
  <si>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</si>
  <si>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</si>
  <si>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</si>
  <si>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</si>
  <si>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</si>
  <si>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</si>
  <si>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</si>
  <si>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</si>
  <si>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</si>
  <si>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</si>
  <si>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</si>
  <si>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</si>
  <si>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</si>
  <si>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</si>
  <si>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</si>
  <si>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</si>
  <si>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</si>
  <si>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</si>
  <si>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</si>
  <si>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</si>
  <si>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</si>
  <si>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</si>
  <si>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</si>
  <si>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</si>
  <si>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</si>
  <si>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</si>
  <si>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</si>
  <si>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</si>
  <si>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</si>
  <si>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</si>
  <si>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</si>
  <si>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</si>
  <si>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</si>
  <si>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</si>
  <si>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</si>
  <si>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</si>
  <si>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</si>
  <si>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</si>
  <si>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</si>
  <si>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</si>
  <si>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</si>
  <si>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</si>
  <si>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</si>
  <si>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</si>
  <si>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</si>
  <si>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</si>
  <si>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</si>
  <si>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</si>
  <si>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</si>
  <si>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</si>
  <si>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</si>
  <si>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</si>
  <si>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</si>
  <si>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</si>
  <si>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</si>
  <si>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</si>
  <si>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</si>
  <si>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</si>
  <si>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</si>
  <si>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</si>
  <si>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</si>
  <si>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</si>
  <si>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</si>
  <si>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</si>
  <si>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</si>
  <si>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</si>
  <si>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</si>
  <si>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</si>
  <si>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</si>
  <si>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</si>
  <si>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</si>
  <si>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</si>
  <si>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</si>
  <si>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</si>
  <si>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</si>
  <si>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</si>
  <si>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</si>
  <si>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</si>
  <si>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</si>
  <si>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</si>
  <si>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</si>
  <si>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</si>
  <si>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</si>
  <si>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</si>
  <si>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</si>
  <si>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</si>
  <si>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</si>
  <si>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</si>
  <si>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</si>
  <si>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</si>
  <si>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</si>
  <si>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</si>
  <si>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</si>
  <si>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</si>
  <si>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</si>
  <si>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</si>
  <si>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</si>
  <si>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</si>
  <si>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</si>
  <si>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</si>
  <si>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</si>
  <si>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</si>
  <si>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</si>
  <si>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</si>
  <si>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</si>
  <si>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</si>
  <si>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</si>
  <si>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</si>
  <si>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</si>
  <si>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</si>
  <si>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</si>
  <si>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</si>
  <si>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</si>
  <si>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</si>
  <si>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</si>
  <si>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</si>
  <si>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</si>
  <si>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</si>
  <si>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</si>
  <si>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</si>
  <si>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</si>
  <si>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</si>
  <si>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</si>
  <si>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</si>
  <si>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</si>
  <si>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</si>
  <si>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</si>
  <si>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</si>
  <si>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</si>
  <si>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</si>
  <si>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</si>
  <si>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</si>
  <si>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</si>
  <si>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</si>
  <si>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</si>
  <si>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</si>
  <si>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</si>
  <si>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</si>
  <si>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</si>
  <si>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</si>
  <si>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</si>
  <si>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</si>
  <si>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</si>
  <si>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</si>
  <si>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</si>
  <si>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</si>
  <si>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</si>
  <si>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</si>
  <si>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</si>
  <si>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</si>
  <si>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</si>
  <si>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</si>
  <si>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</si>
  <si>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</si>
  <si>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</si>
  <si>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</si>
  <si>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</si>
  <si>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</si>
  <si>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</si>
  <si>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</si>
  <si>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</si>
  <si>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</si>
  <si>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</si>
  <si>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</si>
  <si>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</si>
  <si>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</si>
  <si>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</si>
  <si>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</si>
  <si>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</si>
  <si>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</si>
  <si>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</si>
  <si>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</si>
  <si>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</si>
  <si>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</si>
  <si>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</si>
  <si>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</si>
  <si>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</si>
  <si>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</si>
  <si>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</si>
  <si>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</si>
  <si>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</si>
  <si>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</si>
  <si>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</si>
  <si>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</si>
  <si>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</si>
  <si>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</si>
  <si>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</si>
  <si>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</si>
  <si>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</si>
  <si>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</si>
  <si>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</si>
  <si>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</si>
  <si>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</si>
  <si>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</si>
  <si>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</si>
  <si>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</si>
  <si>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</si>
  <si>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</si>
  <si>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</si>
  <si>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</si>
  <si>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</si>
  <si>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</si>
  <si>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</si>
  <si>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</si>
  <si>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</si>
  <si>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</si>
  <si>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</si>
  <si>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</si>
  <si>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</si>
  <si>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</si>
  <si>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</si>
  <si>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</si>
  <si>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</si>
  <si>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</si>
  <si>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</si>
  <si>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</si>
  <si>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</si>
  <si>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</si>
  <si>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</si>
  <si>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</si>
  <si>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</si>
  <si>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</si>
  <si>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</si>
  <si>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</si>
  <si>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</si>
  <si>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</si>
  <si>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</si>
  <si>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</si>
  <si>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</si>
  <si>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</si>
  <si>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</si>
  <si>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</si>
  <si>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</si>
  <si>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</si>
  <si>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</si>
  <si>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</si>
  <si>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</si>
  <si>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</si>
  <si>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</si>
  <si>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</si>
  <si>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</si>
  <si>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</si>
  <si>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</si>
  <si>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</si>
  <si>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</si>
  <si>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</si>
  <si>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</si>
  <si>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</si>
  <si>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</si>
  <si>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</si>
  <si>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</si>
  <si>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</si>
  <si>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</si>
  <si>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</si>
  <si>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</si>
  <si>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</si>
  <si>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</si>
  <si>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</si>
  <si>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</si>
  <si>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</si>
  <si>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</si>
  <si>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</si>
  <si>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</si>
  <si>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</si>
  <si>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</si>
  <si>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</si>
  <si>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</si>
  <si>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</si>
  <si>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</si>
  <si>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</si>
  <si>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</si>
  <si>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</si>
  <si>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</si>
  <si>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</si>
  <si>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</si>
  <si>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</si>
  <si>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</si>
  <si>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</si>
  <si>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</si>
  <si>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</si>
  <si>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</si>
  <si>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</si>
  <si>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</si>
  <si>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</si>
  <si>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</si>
  <si>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</si>
  <si>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</si>
  <si>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</si>
  <si>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</si>
  <si>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</si>
  <si>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</si>
  <si>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</si>
  <si>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</si>
  <si>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</si>
  <si>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</si>
  <si>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</si>
  <si>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</si>
  <si>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</si>
  <si>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</si>
  <si>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</si>
  <si>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</si>
  <si>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</si>
  <si>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</si>
  <si>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</si>
  <si>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</si>
  <si>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</si>
  <si>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</si>
  <si>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</si>
  <si>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</si>
  <si>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</si>
  <si>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</si>
  <si>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</si>
  <si>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</si>
  <si>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</si>
  <si>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</si>
  <si>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</si>
  <si>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</si>
  <si>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</si>
  <si>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</si>
  <si>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</si>
  <si>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</si>
  <si>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</si>
  <si>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</si>
  <si>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</si>
  <si>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</si>
  <si>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</si>
  <si>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</si>
  <si>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</si>
  <si>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</si>
  <si>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</si>
  <si>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</si>
  <si>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</si>
  <si>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</si>
  <si>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</si>
  <si>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</si>
  <si>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</si>
  <si>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</si>
  <si>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</si>
  <si>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</si>
  <si>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</si>
  <si>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</si>
  <si>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</si>
  <si>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</si>
  <si>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</si>
  <si>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</si>
  <si>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</si>
  <si>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</si>
  <si>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</si>
  <si>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</si>
  <si>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</si>
  <si>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</si>
  <si>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</si>
  <si>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</si>
  <si>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</si>
  <si>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</si>
  <si>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</si>
  <si>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</si>
  <si>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</si>
  <si>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</si>
  <si>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</si>
  <si>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</si>
  <si>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</si>
  <si>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</si>
  <si>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</si>
  <si>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</si>
  <si>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</si>
  <si>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</si>
  <si>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</si>
  <si>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</si>
  <si>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</si>
  <si>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</si>
  <si>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</si>
  <si>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</si>
  <si>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</si>
  <si>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</si>
  <si>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</si>
  <si>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</si>
  <si>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</si>
  <si>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</si>
  <si>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</si>
  <si>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</si>
  <si>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</si>
  <si>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</si>
  <si>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</si>
  <si>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</si>
  <si>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</si>
  <si>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</si>
  <si>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</si>
  <si>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</si>
  <si>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</si>
  <si>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</si>
  <si>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</si>
  <si>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</si>
  <si>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</si>
  <si>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</si>
  <si>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</si>
  <si>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</si>
  <si>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</si>
  <si>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</si>
  <si>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</si>
  <si>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</si>
  <si>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</si>
  <si>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</si>
  <si>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</si>
  <si>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</si>
  <si>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</si>
  <si>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</si>
  <si>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</si>
  <si>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</si>
  <si>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</si>
  <si>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</si>
  <si>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</si>
  <si>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</si>
  <si>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</si>
  <si>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</si>
  <si>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</si>
  <si>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</si>
  <si>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</si>
  <si>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</si>
  <si>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</si>
  <si>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</si>
  <si>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</si>
  <si>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</si>
  <si>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</si>
  <si>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</si>
  <si>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</si>
  <si>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</si>
  <si>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</si>
  <si>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</si>
  <si>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</si>
  <si>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</si>
  <si>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</si>
  <si>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</si>
  <si>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</si>
  <si>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</si>
  <si>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</si>
  <si>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</si>
  <si>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</si>
  <si>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</si>
  <si>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</si>
  <si>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</si>
  <si>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</si>
  <si>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</si>
  <si>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</si>
  <si>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</si>
  <si>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</si>
  <si>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</si>
  <si>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</si>
  <si>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</si>
  <si>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</si>
  <si>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</si>
  <si>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</si>
  <si>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</si>
  <si>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</si>
  <si>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</si>
  <si>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</si>
  <si>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</si>
  <si>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</si>
  <si>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</si>
  <si>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</si>
  <si>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</si>
  <si>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</si>
  <si>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</si>
  <si>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</si>
  <si>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</si>
  <si>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</si>
  <si>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</si>
  <si>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</si>
  <si>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</si>
  <si>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</si>
  <si>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</si>
  <si>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</si>
  <si>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</si>
  <si>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</si>
  <si>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</si>
  <si>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</si>
  <si>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</si>
  <si>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</si>
  <si>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</si>
  <si>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</si>
  <si>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</si>
  <si>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</si>
  <si>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</si>
  <si>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</si>
  <si>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</si>
  <si>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</si>
  <si>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</si>
  <si>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</si>
  <si>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</si>
  <si>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</si>
  <si>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</si>
  <si>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</si>
  <si>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</si>
  <si>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</si>
  <si>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</si>
  <si>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</si>
  <si>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</si>
  <si>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</si>
  <si>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</si>
  <si>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</si>
  <si>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</si>
  <si>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</si>
  <si>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</si>
  <si>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</si>
  <si>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</si>
  <si>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</si>
  <si>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</si>
  <si>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</si>
  <si>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</si>
  <si>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</si>
  <si>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</si>
  <si>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</si>
  <si>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</si>
  <si>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</si>
  <si>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</si>
  <si>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</si>
  <si>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</si>
  <si>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</si>
  <si>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</si>
  <si>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</si>
  <si>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</si>
  <si>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</si>
  <si>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</si>
  <si>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</si>
  <si>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</si>
  <si>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</si>
  <si>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</si>
  <si>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</si>
  <si>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</si>
  <si>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</si>
  <si>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</si>
  <si>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</si>
  <si>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</si>
  <si>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</si>
  <si>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</si>
  <si>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</si>
  <si>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</si>
  <si>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</si>
  <si>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</si>
  <si>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</si>
  <si>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</si>
  <si>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</si>
  <si>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</si>
  <si>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</si>
  <si>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</si>
  <si>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</si>
  <si>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</si>
  <si>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</si>
  <si>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</si>
  <si>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</si>
  <si>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</si>
  <si>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</si>
  <si>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</si>
  <si>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</si>
  <si>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</si>
  <si>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</si>
  <si>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</si>
  <si>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</si>
  <si>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</si>
  <si>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</si>
  <si>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</si>
  <si>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</si>
  <si>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</si>
  <si>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</si>
  <si>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</si>
  <si>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</si>
  <si>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</si>
  <si>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</si>
  <si>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</si>
  <si>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</si>
  <si>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</si>
  <si>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</si>
  <si>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</si>
  <si>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</si>
  <si>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</si>
  <si>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</si>
  <si>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</si>
  <si>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</si>
  <si>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</si>
  <si>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</si>
  <si>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</si>
  <si>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</si>
  <si>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</si>
  <si>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</si>
  <si>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</si>
  <si>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</si>
  <si>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</si>
  <si>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</si>
  <si>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</si>
  <si>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</si>
  <si>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</si>
  <si>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</si>
  <si>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</si>
  <si>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</si>
  <si>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</si>
  <si>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</si>
  <si>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</si>
  <si>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</si>
  <si>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</si>
  <si>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</si>
  <si>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</si>
  <si>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</si>
  <si>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</si>
  <si>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</si>
  <si>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</si>
  <si>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</si>
  <si>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</si>
  <si>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</si>
  <si>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</si>
  <si>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</si>
  <si>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</si>
  <si>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</si>
  <si>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</si>
  <si>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</si>
  <si>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</si>
  <si>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</si>
  <si>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</si>
  <si>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</si>
  <si>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</si>
  <si>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</si>
  <si>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</si>
  <si>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</si>
  <si>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</si>
  <si>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</si>
  <si>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</si>
  <si>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</si>
  <si>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</si>
  <si>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</si>
  <si>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</si>
  <si>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</si>
  <si>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</si>
  <si>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</si>
  <si>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</si>
  <si>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</si>
  <si>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</si>
  <si>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</si>
  <si>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</si>
  <si>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</si>
  <si>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</si>
  <si>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</si>
  <si>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</si>
  <si>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</si>
  <si>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</si>
  <si>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</si>
  <si>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</si>
  <si>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</si>
  <si>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</si>
  <si>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</si>
  <si>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</si>
  <si>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</si>
  <si>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</si>
  <si>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</si>
  <si>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</si>
  <si>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</si>
  <si>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</si>
  <si>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</si>
  <si>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</si>
  <si>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</si>
  <si>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</si>
  <si>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</si>
  <si>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</si>
  <si>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</si>
  <si>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</si>
  <si>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</si>
  <si>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</si>
  <si>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</si>
  <si>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</si>
  <si>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</si>
  <si>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</si>
  <si>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</si>
  <si>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</si>
  <si>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</si>
  <si>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</si>
  <si>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</si>
  <si>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</si>
  <si>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</si>
  <si>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</si>
  <si>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</si>
  <si>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</si>
  <si>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</si>
  <si>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</si>
  <si>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</si>
  <si>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</si>
  <si>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</si>
  <si>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</si>
  <si>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</si>
  <si>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</si>
  <si>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</si>
  <si>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</si>
  <si>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</si>
  <si>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</si>
  <si>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</si>
  <si>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</si>
  <si>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</si>
  <si>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</si>
  <si>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</si>
  <si>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</si>
  <si>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</si>
  <si>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</si>
  <si>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</si>
  <si>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</si>
  <si>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</si>
  <si>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</si>
  <si>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</si>
  <si>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</si>
  <si>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</si>
  <si>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</si>
  <si>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</si>
  <si>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</si>
  <si>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</si>
  <si>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</si>
  <si>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</si>
  <si>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</si>
  <si>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</si>
  <si>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</si>
  <si>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</si>
  <si>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</si>
  <si>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</si>
  <si>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</si>
  <si>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</si>
  <si>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</si>
  <si>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</si>
  <si>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</si>
  <si>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</si>
  <si>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</si>
  <si>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</si>
  <si>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</si>
  <si>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</si>
  <si>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</si>
  <si>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</si>
  <si>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</si>
  <si>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</si>
  <si>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</si>
  <si>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</si>
  <si>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</si>
  <si>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</si>
  <si>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</si>
  <si>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</si>
  <si>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</si>
  <si>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</si>
  <si>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</si>
  <si>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</si>
  <si>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</si>
  <si>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</si>
  <si>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</si>
  <si>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</si>
  <si>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</si>
  <si>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</si>
  <si>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</si>
  <si>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</si>
  <si>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</si>
  <si>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</si>
  <si>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</si>
  <si>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</si>
  <si>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</si>
  <si>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</si>
  <si>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</si>
  <si>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</si>
  <si>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</si>
  <si>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</si>
  <si>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</si>
  <si>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</si>
  <si>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</si>
  <si>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</si>
  <si>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</si>
  <si>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</si>
  <si>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</si>
  <si>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</si>
  <si>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</si>
  <si>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</si>
  <si>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</si>
  <si>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</si>
  <si>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</si>
  <si>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</si>
  <si>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</si>
  <si>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</si>
  <si>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</si>
  <si>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</si>
  <si>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</si>
  <si>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</si>
  <si>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</si>
  <si>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</si>
  <si>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</si>
  <si>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</si>
  <si>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</si>
  <si>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</si>
  <si>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</si>
  <si>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</si>
  <si>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</si>
  <si>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</si>
  <si>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</si>
  <si>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</si>
  <si>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</si>
  <si>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</si>
  <si>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</si>
  <si>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</si>
  <si>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</si>
  <si>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</si>
  <si>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</si>
  <si>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</si>
  <si>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</si>
  <si>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</si>
  <si>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</si>
  <si>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</si>
  <si>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</si>
  <si>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</si>
  <si>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</si>
  <si>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</si>
  <si>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</si>
  <si>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</si>
  <si>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</si>
  <si>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</si>
  <si>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</si>
  <si>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</si>
  <si>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</si>
  <si>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</si>
  <si>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</si>
  <si>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</si>
  <si>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</si>
  <si>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</si>
  <si>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</si>
  <si>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</si>
  <si>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</si>
  <si>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</si>
  <si>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</si>
  <si>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</si>
  <si>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</si>
  <si>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</si>
  <si>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</si>
  <si>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</si>
  <si>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</si>
  <si>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</si>
  <si>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</si>
  <si>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</si>
  <si>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</si>
  <si>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</si>
  <si>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</si>
  <si>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</si>
  <si>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</si>
  <si>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</si>
  <si>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</si>
  <si>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</si>
  <si>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</si>
  <si>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</si>
  <si>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</si>
  <si>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</si>
  <si>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</si>
  <si>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</si>
  <si>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</si>
  <si>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</si>
  <si>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</si>
  <si>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</si>
  <si>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</si>
  <si>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</si>
  <si>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</si>
  <si>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</si>
  <si>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</si>
  <si>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</si>
  <si>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</si>
  <si>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</si>
  <si>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</si>
  <si>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</si>
  <si>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</si>
  <si>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</si>
  <si>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</si>
  <si>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</si>
  <si>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</si>
  <si>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</si>
  <si>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</si>
  <si>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</si>
  <si>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</si>
  <si>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</si>
  <si>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</si>
  <si>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</si>
  <si>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</si>
  <si>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</si>
  <si>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</si>
  <si>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</si>
  <si>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</si>
  <si>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</si>
  <si>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</si>
  <si>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</si>
  <si>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</si>
  <si>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</si>
  <si>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</si>
  <si>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</si>
  <si>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</si>
  <si>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</si>
  <si>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</si>
  <si>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</si>
  <si>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</si>
  <si>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</si>
  <si>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</si>
  <si>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</si>
  <si>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</si>
  <si>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</si>
  <si>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</si>
  <si>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</si>
  <si>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</si>
  <si>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</si>
  <si>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</si>
  <si>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</si>
  <si>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</si>
  <si>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</si>
  <si>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</si>
  <si>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</si>
  <si>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</si>
  <si>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</si>
  <si>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</si>
  <si>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</si>
  <si>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</si>
  <si>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</si>
  <si>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</si>
  <si>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</si>
  <si>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</si>
  <si>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</si>
  <si>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</si>
  <si>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</si>
  <si>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</si>
  <si>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</si>
  <si>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</si>
  <si>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</si>
  <si>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</si>
  <si>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</si>
  <si>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</si>
  <si>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</si>
  <si>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</si>
  <si>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</si>
  <si>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</si>
  <si>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</si>
  <si>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</si>
  <si>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</si>
  <si>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</si>
  <si>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</si>
  <si>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</si>
  <si>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</si>
  <si>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</si>
  <si>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</si>
  <si>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</si>
  <si>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</si>
  <si>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</si>
  <si>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</si>
  <si>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</si>
  <si>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</si>
  <si>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</si>
  <si>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</si>
  <si>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</si>
  <si>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</si>
  <si>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</si>
  <si>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</si>
  <si>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</si>
  <si>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</si>
  <si>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</si>
  <si>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</si>
  <si>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</si>
  <si>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</si>
  <si>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</si>
  <si>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</si>
  <si>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</si>
  <si>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</si>
  <si>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</si>
  <si>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</si>
  <si>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</si>
  <si>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</si>
  <si>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</si>
  <si>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</si>
  <si>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</si>
  <si>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</si>
  <si>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</si>
  <si>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</si>
  <si>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</si>
  <si>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</si>
  <si>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</si>
  <si>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</si>
  <si>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</si>
  <si>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</si>
  <si>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</si>
  <si>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</si>
  <si>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</si>
  <si>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</si>
  <si>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</si>
  <si>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</si>
  <si>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</si>
  <si>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</si>
  <si>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</si>
  <si>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</si>
  <si>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</si>
  <si>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</si>
  <si>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</si>
  <si>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</si>
  <si>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</si>
  <si>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</si>
  <si>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</si>
  <si>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</si>
  <si>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</si>
  <si>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</si>
  <si>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</si>
  <si>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</si>
  <si>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</si>
  <si>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</si>
  <si>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</si>
  <si>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</si>
  <si>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</si>
  <si>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</si>
  <si>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</si>
  <si>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</si>
  <si>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</si>
  <si>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</si>
  <si>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</si>
  <si>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</si>
  <si>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</si>
  <si>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</si>
  <si>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</si>
  <si>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</si>
  <si>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</si>
  <si>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</si>
  <si>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</si>
  <si>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</si>
  <si>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</si>
  <si>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</si>
  <si>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</si>
  <si>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</si>
  <si>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</si>
  <si>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</si>
  <si>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</si>
  <si>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</si>
  <si>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</si>
  <si>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</si>
  <si>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</si>
  <si>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</si>
  <si>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</si>
  <si>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</si>
  <si>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</si>
  <si>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</si>
  <si>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</si>
  <si>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</si>
  <si>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</si>
  <si>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</si>
  <si>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</si>
  <si>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</si>
  <si>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</si>
  <si>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</si>
  <si>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</si>
  <si>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</si>
  <si>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</si>
  <si>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</si>
  <si>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</si>
  <si>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</si>
  <si>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</si>
  <si>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</si>
  <si>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</si>
  <si>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</si>
  <si>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</si>
  <si>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</si>
  <si>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</si>
  <si>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</si>
  <si>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</si>
  <si>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</si>
  <si>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</si>
  <si>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</si>
  <si>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</si>
  <si>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</si>
  <si>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</si>
  <si>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</si>
  <si>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</si>
  <si>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</si>
  <si>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</si>
  <si>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</si>
  <si>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</si>
  <si>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</si>
  <si>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</si>
  <si>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</si>
  <si>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</si>
  <si>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</si>
  <si>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</si>
  <si>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</si>
  <si>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</si>
  <si>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</si>
  <si>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</si>
  <si>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</si>
  <si>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</si>
  <si>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</si>
  <si>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</si>
  <si>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</si>
  <si>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</si>
  <si>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</si>
  <si>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</si>
  <si>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</si>
  <si>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</si>
  <si>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</si>
  <si>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</si>
  <si>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</si>
  <si>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</si>
  <si>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</si>
  <si>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</si>
  <si>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</si>
  <si>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</si>
  <si>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</si>
  <si>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</si>
  <si>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</si>
  <si>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</si>
  <si>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</si>
  <si>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</si>
  <si>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</si>
  <si>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</si>
  <si>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</si>
  <si>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</si>
  <si>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</si>
  <si>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</si>
  <si>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</si>
  <si>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</si>
  <si>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</si>
  <si>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</si>
  <si>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</si>
  <si>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</si>
  <si>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</si>
  <si>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</si>
  <si>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</si>
  <si>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</si>
  <si>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</si>
  <si>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</si>
  <si>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</si>
  <si>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</si>
  <si>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</si>
  <si>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</si>
  <si>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</si>
  <si>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</si>
  <si>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</si>
  <si>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</si>
  <si>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</si>
  <si>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</si>
  <si>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</si>
  <si>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</si>
  <si>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</si>
  <si>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</si>
  <si>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</si>
  <si>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</si>
  <si>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</si>
  <si>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</si>
  <si>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</si>
  <si>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</si>
  <si>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</si>
  <si>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</si>
  <si>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</si>
  <si>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</si>
  <si>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</si>
  <si>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</si>
  <si>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</si>
  <si>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</si>
  <si>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</si>
  <si>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</si>
  <si>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</si>
  <si>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</si>
  <si>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</si>
  <si>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</si>
  <si>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</si>
  <si>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</si>
  <si>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</si>
  <si>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</si>
  <si>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</si>
  <si>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</si>
  <si>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</si>
  <si>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</si>
  <si>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</si>
  <si>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</si>
  <si>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</si>
  <si>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</si>
  <si>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</si>
  <si>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</si>
  <si>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</si>
  <si>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</si>
  <si>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</si>
  <si>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</si>
  <si>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</si>
  <si>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</si>
  <si>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</si>
  <si>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</si>
  <si>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</si>
  <si>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</si>
  <si>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</si>
  <si>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</si>
  <si>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</si>
  <si>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</si>
  <si>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</si>
  <si>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</si>
  <si>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</si>
  <si>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</si>
  <si>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</si>
  <si>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</si>
  <si>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</si>
  <si>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</si>
  <si>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</si>
  <si>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</si>
  <si>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</si>
  <si>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</si>
  <si>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</si>
  <si>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</si>
  <si>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</si>
  <si>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</si>
  <si>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</si>
  <si>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</si>
  <si>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</si>
  <si>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</si>
  <si>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</si>
  <si>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</si>
  <si>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</si>
  <si>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</si>
  <si>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</si>
  <si>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</si>
  <si>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</si>
  <si>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</si>
  <si>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</si>
  <si>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</si>
  <si>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</si>
  <si>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</si>
  <si>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</si>
  <si>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</si>
  <si>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</si>
  <si>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</si>
  <si>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</si>
  <si>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</si>
  <si>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</si>
  <si>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</si>
  <si>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</si>
  <si>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</si>
  <si>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</si>
  <si>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</si>
  <si>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</si>
  <si>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</si>
  <si>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</si>
  <si>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</si>
  <si>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</si>
  <si>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</si>
  <si>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</si>
  <si>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</si>
  <si>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</si>
  <si>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</si>
  <si>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</si>
  <si>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</si>
  <si>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</si>
  <si>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</si>
  <si>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</si>
  <si>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</si>
  <si>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</si>
  <si>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</si>
  <si>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</si>
  <si>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</si>
  <si>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</si>
  <si>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</si>
  <si>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</si>
  <si>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</si>
  <si>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</si>
  <si>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</si>
  <si>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</si>
  <si>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</si>
  <si>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</si>
  <si>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</si>
  <si>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</si>
  <si>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</si>
  <si>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</si>
  <si>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</si>
  <si>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</si>
  <si>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</si>
  <si>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</si>
  <si>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</si>
  <si>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</si>
  <si>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</si>
  <si>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</si>
  <si>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</si>
  <si>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</si>
  <si>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</si>
  <si>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</si>
  <si>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</si>
  <si>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</si>
  <si>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</si>
  <si>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</si>
  <si>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</si>
  <si>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</si>
  <si>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</si>
  <si>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</si>
  <si>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</si>
  <si>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</si>
  <si>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</si>
  <si>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</si>
  <si>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</si>
  <si>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</si>
  <si>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</si>
  <si>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</si>
  <si>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</si>
  <si>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</si>
  <si>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</si>
  <si>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</si>
  <si>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</si>
  <si>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</si>
  <si>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</si>
  <si>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</si>
  <si>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</si>
  <si>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</si>
  <si>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</si>
  <si>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</si>
  <si>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</si>
  <si>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</si>
  <si>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</si>
  <si>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</si>
  <si>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</si>
  <si>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</si>
  <si>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</si>
  <si>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</si>
  <si>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</si>
  <si>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</si>
  <si>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</si>
  <si>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</si>
  <si>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</si>
  <si>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</si>
  <si>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</si>
  <si>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</si>
  <si>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</si>
  <si>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</si>
  <si>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</si>
  <si>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</si>
  <si>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</si>
  <si>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</si>
  <si>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</si>
  <si>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</si>
  <si>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</si>
  <si>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</si>
  <si>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</si>
  <si>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</si>
  <si>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</si>
  <si>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</si>
  <si>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</si>
  <si>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</si>
  <si>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</si>
  <si>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</si>
  <si>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</si>
  <si>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</si>
  <si>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</si>
  <si>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</si>
  <si>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</si>
  <si>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</si>
  <si>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</si>
  <si>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</si>
  <si>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</si>
  <si>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</si>
  <si>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</si>
  <si>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</si>
  <si>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</si>
  <si>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</si>
  <si>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</si>
  <si>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</si>
  <si>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</si>
  <si>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</si>
  <si>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</si>
  <si>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</si>
  <si>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</si>
  <si>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</si>
  <si>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</si>
  <si>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</si>
  <si>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</si>
  <si>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</si>
  <si>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</si>
  <si>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</si>
  <si>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</si>
  <si>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</si>
  <si>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</si>
  <si>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</si>
  <si>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</si>
  <si>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</si>
  <si>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</si>
  <si>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</si>
  <si>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</si>
  <si>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</si>
  <si>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</si>
  <si>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</si>
  <si>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</si>
  <si>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</si>
  <si>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</si>
  <si>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</si>
  <si>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</si>
  <si>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</si>
  <si>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</si>
  <si>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</si>
  <si>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</si>
  <si>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</si>
  <si>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</si>
  <si>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</si>
  <si>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</si>
  <si>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</si>
  <si>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</si>
  <si>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</si>
  <si>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</si>
  <si>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</si>
  <si>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</si>
  <si>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</si>
  <si>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</si>
  <si>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</si>
  <si>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</si>
  <si>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</si>
  <si>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</si>
  <si>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</si>
  <si>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</si>
  <si>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</si>
  <si>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</si>
  <si>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</si>
  <si>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</si>
  <si>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</si>
  <si>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</si>
  <si>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</si>
  <si>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</si>
  <si>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</si>
  <si>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</si>
  <si>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</si>
  <si>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</si>
  <si>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</si>
  <si>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</si>
  <si>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</si>
  <si>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</si>
  <si>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</si>
  <si>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</si>
  <si>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</si>
  <si>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</si>
  <si>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</si>
  <si>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</si>
  <si>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</si>
  <si>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</si>
  <si>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</si>
  <si>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</si>
  <si>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</si>
  <si>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</si>
  <si>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</si>
  <si>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</si>
  <si>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</si>
  <si>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</si>
  <si>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</si>
  <si>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</si>
  <si>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</si>
  <si>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</si>
  <si>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</si>
  <si>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</si>
  <si>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</si>
  <si>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</si>
  <si>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</si>
  <si>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</si>
  <si>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</si>
  <si>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</si>
  <si>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</si>
  <si>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</si>
  <si>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</si>
  <si>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</si>
  <si>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</si>
  <si>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</si>
  <si>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</si>
  <si>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</si>
  <si>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</si>
  <si>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</si>
  <si>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</si>
  <si>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</si>
  <si>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</si>
  <si>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</si>
  <si>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</si>
  <si>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</si>
  <si>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</si>
  <si>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</si>
  <si>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</si>
  <si>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</si>
  <si>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</si>
  <si>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</si>
  <si>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</si>
  <si>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</si>
  <si>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</si>
  <si>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</si>
  <si>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</si>
  <si>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</si>
  <si>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</si>
  <si>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</si>
  <si>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</si>
  <si>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</si>
  <si>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</si>
  <si>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</si>
  <si>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</si>
  <si>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</si>
  <si>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</si>
  <si>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</si>
  <si>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</si>
  <si>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</si>
  <si>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</si>
  <si>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</si>
  <si>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</si>
  <si>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</si>
  <si>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</si>
  <si>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</si>
  <si>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</si>
  <si>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</si>
  <si>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</si>
  <si>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</si>
  <si>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</si>
  <si>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</si>
  <si>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</si>
  <si>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</si>
  <si>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</si>
  <si>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</si>
  <si>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</si>
  <si>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</si>
  <si>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</si>
  <si>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</si>
  <si>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</si>
  <si>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</si>
  <si>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</si>
  <si>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</si>
  <si>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</si>
  <si>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</si>
  <si>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</si>
  <si>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</si>
  <si>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</si>
  <si>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</si>
  <si>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</si>
  <si>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</si>
  <si>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</si>
  <si>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</si>
  <si>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</si>
  <si>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</si>
  <si>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</si>
  <si>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</si>
  <si>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</si>
  <si>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</si>
  <si>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</si>
  <si>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</si>
  <si>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</si>
  <si>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</si>
  <si>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</si>
  <si>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</si>
  <si>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</si>
  <si>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</si>
  <si>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</si>
  <si>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</si>
  <si>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</si>
  <si>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</si>
  <si>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</si>
  <si>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</si>
  <si>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</si>
  <si>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</si>
  <si>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</si>
  <si>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</si>
  <si>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</si>
  <si>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</si>
  <si>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</si>
  <si>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</si>
  <si>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</si>
  <si>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</si>
  <si>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</si>
  <si>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</si>
  <si>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</si>
  <si>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</si>
  <si>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</si>
  <si>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</si>
  <si>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</si>
  <si>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</si>
  <si>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</si>
  <si>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</si>
  <si>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</si>
  <si>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</si>
  <si>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</si>
  <si>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</si>
  <si>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</si>
  <si>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</si>
  <si>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</si>
  <si>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</si>
  <si>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</si>
  <si>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</si>
  <si>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</si>
  <si>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</si>
  <si>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</si>
  <si>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</si>
  <si>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</si>
  <si>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</si>
  <si>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</si>
  <si>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</si>
  <si>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</si>
  <si>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</si>
  <si>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</si>
  <si>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</si>
  <si>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</si>
  <si>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</si>
  <si>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</si>
  <si>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</si>
  <si>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</si>
  <si>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</si>
  <si>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</si>
  <si>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</si>
  <si>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</si>
  <si>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</si>
  <si>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</si>
  <si>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</si>
  <si>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</si>
  <si>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</si>
  <si>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</si>
  <si>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</si>
  <si>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</si>
  <si>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</si>
  <si>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</si>
  <si>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</si>
  <si>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</si>
  <si>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</si>
  <si>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</si>
  <si>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</si>
  <si>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</si>
  <si>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</si>
  <si>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</si>
  <si>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</si>
  <si>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</si>
  <si>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</si>
  <si>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</si>
  <si>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</si>
  <si>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</si>
  <si>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</si>
  <si>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</si>
  <si>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</si>
  <si>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</si>
  <si>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</si>
  <si>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</si>
  <si>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</si>
  <si>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</si>
  <si>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</si>
  <si>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</si>
  <si>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</si>
  <si>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</si>
  <si>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</si>
  <si>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</si>
  <si>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</si>
  <si>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</si>
  <si>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</si>
  <si>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</si>
  <si>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</si>
  <si>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</si>
  <si>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</si>
  <si>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</si>
  <si>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</si>
  <si>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</si>
  <si>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</si>
  <si>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</si>
  <si>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</si>
  <si>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</si>
  <si>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</si>
  <si>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</si>
  <si>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</si>
  <si>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</si>
  <si>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</si>
  <si>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</si>
  <si>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</si>
  <si>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</si>
  <si>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</si>
  <si>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</si>
  <si>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</si>
  <si>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</si>
  <si>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</si>
  <si>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</si>
  <si>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</si>
  <si>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</si>
  <si>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</si>
  <si>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</si>
  <si>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</si>
  <si>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</si>
  <si>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</si>
  <si>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</si>
  <si>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</si>
  <si>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</si>
  <si>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</si>
  <si>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</si>
  <si>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</si>
  <si>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</si>
  <si>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</si>
  <si>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</si>
  <si>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</si>
  <si>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</si>
  <si>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</si>
  <si>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</si>
  <si>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</si>
  <si>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</si>
  <si>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</si>
  <si>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</si>
  <si>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</si>
  <si>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</si>
  <si>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</si>
  <si>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</si>
  <si>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</si>
  <si>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</si>
  <si>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</si>
  <si>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</si>
  <si>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</si>
  <si>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</si>
  <si>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</si>
  <si>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</si>
  <si>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</si>
  <si>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</si>
  <si>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</si>
  <si>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</si>
  <si>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</si>
  <si>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</si>
  <si>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</si>
  <si>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</si>
  <si>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</si>
  <si>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</si>
  <si>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</si>
  <si>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</si>
  <si>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</si>
  <si>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</si>
  <si>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</si>
  <si>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</si>
  <si>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</si>
  <si>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</si>
  <si>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</si>
  <si>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</si>
  <si>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</si>
  <si>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</si>
  <si>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</si>
  <si>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</si>
  <si>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</si>
  <si>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</si>
  <si>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</si>
  <si>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</si>
  <si>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</si>
  <si>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</si>
  <si>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</si>
  <si>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</si>
  <si>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</si>
  <si>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</si>
  <si>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</si>
  <si>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</si>
  <si>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</si>
  <si>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</si>
  <si>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</si>
  <si>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</si>
  <si>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</si>
  <si>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</si>
  <si>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</si>
  <si>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</si>
  <si>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</si>
  <si>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</si>
  <si>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</si>
  <si>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</si>
  <si>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</si>
  <si>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</si>
  <si>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</si>
  <si>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</si>
  <si>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</si>
  <si>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</si>
  <si>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</si>
  <si>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</si>
  <si>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</si>
  <si>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</si>
  <si>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</si>
  <si>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</si>
  <si>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</si>
  <si>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</si>
  <si>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</si>
  <si>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</si>
  <si>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</si>
  <si>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</si>
  <si>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</si>
  <si>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</si>
  <si>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</si>
  <si>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</si>
  <si>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</si>
  <si>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</si>
  <si>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</si>
  <si>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</si>
  <si>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</si>
  <si>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</si>
  <si>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</si>
  <si>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</si>
  <si>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</si>
  <si>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</si>
  <si>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</si>
  <si>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</si>
  <si>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</si>
  <si>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</si>
  <si>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</si>
  <si>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</si>
  <si>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</si>
  <si>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</si>
  <si>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</si>
  <si>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</si>
  <si>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</si>
  <si>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</si>
  <si>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</si>
  <si>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</si>
  <si>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</si>
  <si>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</si>
  <si>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</si>
  <si>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</si>
  <si>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</si>
  <si>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</si>
  <si>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</si>
  <si>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</si>
  <si>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</si>
  <si>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</si>
  <si>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</si>
  <si>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</si>
  <si>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</si>
  <si>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</si>
  <si>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</si>
  <si>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</si>
  <si>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</si>
  <si>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</si>
  <si>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</si>
  <si>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</si>
  <si>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</si>
  <si>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</si>
  <si>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</si>
  <si>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</si>
  <si>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</si>
  <si>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</si>
  <si>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</si>
  <si>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</si>
  <si>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</si>
  <si>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</si>
  <si>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</si>
  <si>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</si>
  <si>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</si>
  <si>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</si>
  <si>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</si>
  <si>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</si>
  <si>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</si>
  <si>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</si>
  <si>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</si>
  <si>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</si>
  <si>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</si>
  <si>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</si>
  <si>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</si>
  <si>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</si>
  <si>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</si>
  <si>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</si>
  <si>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</si>
  <si>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</si>
  <si>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</si>
  <si>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</si>
  <si>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</si>
  <si>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</si>
  <si>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</si>
  <si>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</si>
  <si>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</si>
  <si>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</si>
  <si>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</si>
  <si>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</si>
  <si>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</si>
  <si>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</si>
  <si>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</si>
  <si>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</si>
  <si>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</si>
  <si>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</si>
  <si>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</si>
  <si>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</si>
  <si>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</si>
  <si>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</si>
  <si>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</si>
  <si>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</si>
  <si>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</si>
  <si>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</si>
  <si>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</si>
  <si>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</si>
  <si>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</si>
  <si>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</si>
  <si>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</si>
  <si>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</si>
  <si>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</si>
  <si>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</si>
  <si>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</si>
  <si>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</si>
  <si>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</si>
  <si>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</si>
  <si>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</si>
  <si>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</si>
  <si>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</si>
  <si>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</si>
  <si>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</si>
  <si>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</si>
  <si>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</si>
  <si>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</si>
  <si>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</si>
  <si>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</si>
  <si>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</si>
  <si>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</si>
  <si>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</si>
  <si>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</si>
  <si>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</si>
  <si>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</si>
  <si>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</si>
  <si>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</si>
  <si>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</si>
  <si>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</si>
  <si>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</si>
  <si>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</si>
  <si>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</si>
  <si>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</si>
  <si>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</si>
  <si>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</si>
  <si>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</si>
  <si>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</si>
  <si>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</si>
  <si>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</si>
  <si>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</si>
  <si>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</si>
  <si>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</si>
  <si>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</si>
  <si>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</si>
  <si>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</si>
  <si>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</si>
  <si>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</si>
  <si>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</si>
  <si>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</si>
  <si>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</si>
  <si>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</si>
  <si>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</si>
  <si>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</si>
  <si>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</si>
  <si>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</si>
  <si>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</si>
  <si>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</si>
  <si>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</si>
  <si>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</si>
  <si>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</si>
  <si>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</si>
  <si>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</si>
  <si>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</si>
  <si>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</si>
  <si>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</si>
  <si>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</si>
  <si>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</si>
  <si>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</si>
  <si>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</si>
  <si>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</si>
  <si>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</si>
  <si>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</si>
  <si>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</si>
  <si>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</si>
  <si>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</si>
  <si>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</si>
  <si>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</si>
  <si>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</si>
  <si>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</si>
  <si>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</si>
  <si>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</si>
  <si>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</si>
  <si>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</si>
  <si>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</si>
  <si>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</si>
  <si>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</si>
  <si>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</si>
  <si>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</si>
  <si>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</si>
  <si>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</si>
  <si>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</si>
  <si>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</si>
  <si>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</si>
  <si>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</si>
  <si>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</si>
  <si>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</si>
  <si>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</si>
  <si>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</si>
  <si>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</si>
  <si>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</si>
  <si>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</si>
  <si>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</si>
  <si>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</si>
  <si>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</si>
  <si>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</si>
  <si>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</si>
  <si>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</si>
  <si>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</si>
  <si>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</si>
  <si>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</si>
  <si>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</si>
  <si>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</si>
  <si>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</si>
  <si>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</si>
  <si>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</si>
  <si>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</si>
  <si>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</si>
  <si>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</si>
  <si>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</si>
  <si>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</si>
  <si>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</si>
  <si>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</si>
  <si>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</si>
  <si>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</si>
  <si>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</si>
  <si>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</si>
  <si>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</si>
  <si>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</si>
  <si>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</si>
  <si>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</si>
  <si>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</si>
  <si>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</si>
  <si>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</si>
  <si>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</si>
  <si>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</si>
  <si>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</si>
  <si>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</si>
  <si>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</si>
  <si>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</si>
  <si>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</si>
  <si>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</si>
  <si>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</si>
  <si>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</si>
  <si>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</si>
  <si>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</si>
  <si>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</si>
  <si>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</si>
  <si>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</si>
  <si>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</si>
  <si>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</si>
  <si>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</si>
  <si>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</si>
  <si>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</si>
  <si>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</si>
  <si>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</si>
  <si>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</si>
  <si>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</si>
  <si>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</si>
  <si>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</si>
  <si>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</si>
  <si>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</si>
  <si>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</si>
  <si>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</si>
  <si>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</si>
  <si>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</si>
  <si>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</si>
  <si>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</si>
  <si>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</si>
  <si>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</si>
  <si>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</si>
  <si>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</si>
  <si>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</si>
  <si>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</si>
  <si>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</si>
  <si>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</si>
  <si>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</si>
  <si>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</si>
  <si>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</si>
  <si>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</si>
  <si>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</si>
  <si>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</si>
  <si>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</si>
  <si>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</si>
  <si>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</si>
  <si>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</si>
  <si>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</si>
  <si>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</si>
  <si>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</si>
  <si>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</si>
  <si>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</si>
  <si>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</si>
  <si>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</si>
  <si>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</si>
  <si>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</si>
  <si>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</si>
  <si>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</si>
  <si>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</si>
  <si>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</si>
  <si>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</si>
  <si>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</si>
  <si>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</si>
  <si>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</si>
  <si>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</si>
  <si>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</si>
  <si>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</si>
  <si>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</si>
  <si>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</si>
  <si>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</si>
  <si>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</si>
  <si>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</si>
  <si>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</si>
  <si>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</si>
  <si>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</si>
  <si>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</si>
  <si>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</si>
  <si>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</si>
  <si>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</si>
  <si>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</si>
  <si>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</si>
  <si>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</si>
  <si>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</si>
  <si>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</si>
  <si>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</si>
  <si>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</si>
  <si>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</si>
  <si>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</si>
  <si>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</si>
  <si>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</si>
  <si>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</si>
  <si>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</si>
  <si>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</si>
  <si>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</si>
  <si>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</si>
  <si>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</si>
  <si>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</si>
  <si>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</si>
  <si>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</si>
  <si>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</si>
  <si>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</si>
  <si>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</si>
  <si>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</si>
  <si>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</si>
  <si>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</si>
  <si>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</si>
  <si>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</si>
  <si>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</si>
  <si>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</si>
  <si>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</si>
  <si>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</si>
  <si>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</si>
  <si>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</si>
  <si>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</si>
  <si>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</si>
  <si>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</si>
  <si>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</si>
  <si>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</si>
  <si>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</si>
  <si>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</si>
  <si>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</si>
  <si>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</si>
  <si>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</si>
  <si>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</si>
  <si>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</si>
  <si>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</si>
  <si>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</si>
  <si>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</si>
  <si>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</si>
  <si>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</si>
  <si>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</si>
  <si>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</si>
  <si>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</si>
  <si>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</si>
  <si>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</si>
  <si>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</si>
  <si>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</si>
  <si>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</si>
  <si>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</si>
  <si>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</si>
  <si>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</si>
  <si>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</si>
  <si>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</si>
  <si>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</si>
  <si>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</si>
  <si>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</si>
  <si>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</si>
  <si>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</si>
  <si>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</si>
  <si>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</si>
  <si>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</si>
  <si>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</si>
  <si>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</si>
  <si>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</si>
  <si>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</si>
  <si>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</si>
  <si>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</si>
  <si>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</si>
  <si>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</si>
  <si>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</si>
  <si>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</si>
  <si>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</si>
  <si>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</si>
  <si>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</si>
  <si>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</si>
  <si>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</si>
  <si>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</si>
  <si>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</si>
  <si>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</si>
  <si>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</si>
  <si>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</si>
  <si>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</si>
  <si>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</si>
  <si>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</si>
  <si>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</si>
  <si>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</si>
  <si>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</si>
  <si>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</si>
  <si>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</si>
  <si>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</si>
  <si>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</si>
  <si>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</si>
  <si>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</si>
  <si>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</si>
  <si>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</si>
  <si>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</si>
  <si>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</si>
  <si>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</si>
  <si>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</si>
  <si>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</si>
  <si>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</si>
  <si>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</si>
  <si>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</si>
  <si>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</si>
  <si>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</si>
  <si>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</si>
  <si>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</si>
  <si>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</si>
  <si>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</si>
  <si>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</si>
  <si>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</si>
  <si>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</si>
  <si>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</si>
  <si>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</si>
  <si>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</si>
  <si>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</si>
  <si>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</si>
  <si>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</si>
  <si>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</si>
  <si>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</si>
  <si>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</si>
  <si>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</si>
  <si>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</si>
  <si>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</si>
  <si>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</si>
  <si>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</si>
  <si>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</si>
  <si>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</si>
  <si>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</si>
  <si>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</si>
  <si>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</si>
  <si>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</si>
  <si>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</si>
  <si>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</si>
  <si>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</si>
  <si>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</si>
  <si>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</si>
  <si>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</si>
  <si>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</si>
  <si>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</si>
  <si>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</si>
  <si>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</si>
  <si>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</si>
  <si>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</si>
  <si>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</si>
  <si>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</si>
  <si>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</si>
  <si>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</si>
  <si>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</si>
  <si>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</si>
  <si>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</si>
  <si>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</si>
  <si>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</si>
  <si>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</si>
  <si>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</si>
  <si>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</si>
  <si>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</si>
  <si>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</si>
  <si>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</si>
  <si>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</si>
  <si>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</si>
  <si>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</si>
  <si>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</si>
  <si>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</si>
  <si>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</si>
  <si>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</si>
  <si>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</si>
  <si>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</si>
  <si>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</si>
  <si>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</si>
  <si>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</si>
  <si>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</si>
  <si>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</si>
  <si>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</si>
  <si>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</si>
  <si>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</si>
  <si>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</si>
  <si>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</si>
  <si>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</si>
  <si>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</si>
  <si>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</si>
  <si>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</si>
  <si>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</si>
  <si>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</si>
  <si>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</si>
  <si>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</si>
  <si>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</si>
  <si>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</si>
  <si>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</si>
  <si>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</si>
  <si>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</si>
  <si>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</si>
  <si>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</si>
  <si>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</si>
  <si>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</si>
  <si>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</si>
  <si>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</si>
  <si>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</si>
  <si>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</si>
  <si>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</si>
  <si>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</si>
  <si>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</si>
  <si>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</si>
  <si>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</si>
  <si>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</si>
  <si>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</si>
  <si>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</si>
  <si>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</si>
  <si>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</si>
  <si>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</si>
  <si>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</si>
  <si>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</si>
  <si>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</si>
  <si>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</si>
  <si>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</si>
  <si>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</si>
  <si>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</si>
  <si>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</si>
  <si>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</si>
  <si>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</si>
  <si>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</si>
  <si>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</si>
  <si>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</si>
  <si>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</si>
  <si>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</si>
  <si>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</si>
  <si>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</si>
  <si>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</si>
  <si>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</si>
  <si>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</si>
  <si>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</si>
  <si>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</si>
  <si>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</si>
  <si>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</si>
  <si>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</si>
  <si>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</si>
  <si>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</si>
  <si>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</si>
  <si>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</si>
  <si>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</si>
  <si>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</si>
  <si>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</si>
  <si>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</si>
  <si>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</si>
  <si>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</si>
  <si>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</si>
  <si>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</si>
  <si>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</si>
  <si>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</si>
  <si>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</si>
  <si>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</si>
  <si>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</si>
  <si>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</si>
  <si>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</si>
  <si>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</si>
  <si>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</si>
  <si>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</si>
  <si>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</si>
  <si>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</si>
  <si>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</si>
  <si>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</si>
  <si>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</si>
  <si>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</si>
  <si>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</si>
  <si>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</si>
  <si>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</si>
  <si>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</si>
  <si>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</si>
  <si>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</si>
  <si>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</si>
  <si>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</si>
  <si>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</si>
  <si>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</si>
  <si>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</si>
  <si>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</si>
  <si>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</si>
  <si>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</si>
  <si>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</si>
  <si>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</si>
  <si>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</si>
  <si>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</si>
  <si>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</si>
  <si>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</si>
  <si>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</si>
  <si>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</si>
  <si>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</si>
  <si>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</si>
  <si>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</si>
  <si>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</si>
  <si>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</si>
  <si>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</si>
  <si>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</si>
  <si>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</si>
  <si>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</si>
  <si>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</si>
  <si>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</si>
  <si>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</si>
  <si>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</si>
  <si>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</si>
  <si>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</si>
  <si>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</si>
  <si>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</si>
  <si>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</si>
  <si>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</si>
  <si>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</si>
  <si>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</si>
  <si>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</si>
  <si>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</si>
  <si>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</si>
  <si>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</si>
  <si>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</si>
  <si>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</si>
  <si>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</si>
  <si>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</si>
  <si>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</si>
  <si>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</si>
  <si>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</si>
  <si>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</si>
  <si>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</si>
  <si>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</si>
  <si>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</si>
  <si>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</si>
  <si>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</si>
  <si>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</si>
  <si>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</si>
  <si>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</si>
  <si>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</si>
  <si>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</si>
  <si>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</si>
  <si>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</si>
  <si>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</si>
  <si>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</si>
  <si>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</si>
  <si>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</si>
  <si>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</si>
  <si>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</si>
  <si>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</si>
  <si>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</si>
  <si>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</si>
  <si>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</si>
  <si>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</si>
  <si>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</si>
  <si>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</si>
  <si>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</si>
  <si>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</si>
  <si>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</si>
  <si>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</si>
  <si>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</si>
  <si>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</si>
  <si>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</si>
  <si>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</si>
  <si>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</si>
  <si>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</si>
  <si>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</si>
  <si>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</si>
  <si>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</si>
  <si>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</si>
  <si>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</si>
  <si>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</si>
  <si>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</si>
  <si>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</si>
  <si>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</si>
  <si>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</si>
  <si>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</si>
  <si>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</si>
  <si>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</si>
  <si>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</si>
  <si>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</si>
  <si>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</si>
  <si>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</si>
  <si>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</si>
  <si>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</si>
  <si>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</si>
  <si>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</si>
  <si>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</si>
  <si>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</si>
  <si>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</si>
  <si>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</si>
  <si>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</si>
  <si>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</si>
  <si>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</si>
  <si>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</si>
  <si>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</si>
  <si>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</si>
  <si>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</si>
  <si>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</si>
  <si>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</si>
  <si>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</si>
  <si>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</si>
  <si>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</si>
  <si>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</si>
  <si>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</si>
  <si>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</si>
  <si>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</si>
  <si>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</si>
  <si>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</si>
  <si>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</si>
  <si>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</si>
  <si>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</si>
  <si>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</si>
  <si>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</si>
  <si>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</si>
  <si>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</si>
  <si>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</si>
  <si>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</si>
  <si>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</si>
  <si>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</si>
  <si>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</si>
  <si>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</si>
  <si>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</si>
  <si>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</si>
  <si>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</si>
  <si>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</si>
  <si>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</si>
  <si>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</si>
  <si>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</si>
  <si>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</si>
  <si>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</si>
  <si>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</si>
  <si>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</si>
  <si>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</si>
  <si>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</si>
  <si>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</si>
  <si>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</si>
  <si>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</si>
  <si>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</si>
  <si>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</si>
  <si>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</si>
  <si>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</si>
  <si>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</si>
  <si>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</si>
  <si>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</si>
  <si>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</si>
  <si>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</si>
  <si>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</si>
  <si>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</si>
  <si>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</si>
  <si>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</si>
  <si>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</si>
  <si>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</si>
  <si>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</si>
  <si>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</si>
  <si>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</si>
  <si>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</si>
  <si>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</si>
  <si>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</si>
  <si>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</si>
  <si>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</si>
  <si>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</si>
  <si>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</si>
  <si>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</si>
  <si>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</si>
  <si>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</si>
  <si>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</si>
  <si>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</si>
  <si>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</si>
  <si>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</si>
  <si>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</si>
  <si>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</si>
  <si>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</si>
  <si>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</si>
  <si>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</si>
  <si>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</si>
  <si>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</si>
  <si>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</si>
  <si>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</si>
  <si>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</si>
  <si>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</si>
  <si>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</si>
  <si>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</si>
  <si>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</si>
  <si>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</si>
  <si>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</si>
  <si>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</si>
  <si>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</si>
  <si>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</si>
  <si>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</si>
  <si>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</si>
  <si>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</si>
  <si>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</si>
  <si>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</si>
  <si>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</si>
  <si>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</si>
  <si>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</si>
  <si>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</si>
  <si>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</si>
  <si>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</si>
  <si>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</si>
  <si>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</si>
  <si>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</si>
  <si>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</si>
  <si>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</si>
  <si>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</si>
  <si>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</si>
  <si>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</si>
  <si>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</si>
  <si>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</si>
  <si>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</si>
  <si>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</si>
  <si>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</si>
  <si>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</si>
  <si>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</si>
  <si>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</si>
  <si>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</si>
  <si>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</si>
  <si>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</si>
  <si>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</si>
  <si>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</si>
  <si>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</si>
  <si>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</si>
  <si>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</si>
  <si>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</si>
  <si>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</si>
  <si>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</si>
  <si>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</si>
  <si>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</si>
  <si>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</si>
  <si>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</si>
  <si>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</si>
  <si>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</si>
  <si>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</si>
  <si>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</si>
  <si>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</si>
  <si>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</si>
  <si>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</si>
  <si>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</si>
  <si>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</si>
  <si>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</si>
  <si>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</si>
  <si>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</si>
  <si>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</si>
  <si>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</si>
  <si>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</si>
  <si>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</si>
  <si>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</si>
  <si>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</si>
  <si>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</si>
  <si>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</si>
  <si>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</si>
  <si>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</si>
  <si>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</si>
  <si>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</si>
  <si>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</si>
  <si>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</si>
  <si>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</si>
  <si>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</si>
  <si>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</si>
  <si>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</si>
  <si>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</si>
  <si>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</si>
  <si>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</si>
  <si>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</si>
  <si>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</si>
  <si>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</si>
  <si>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</si>
  <si>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</si>
  <si>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</si>
  <si>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</si>
  <si>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</si>
  <si>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</si>
  <si>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</si>
  <si>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</si>
  <si>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</si>
  <si>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</si>
  <si>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</si>
  <si>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</si>
  <si>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</si>
  <si>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</si>
  <si>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</si>
  <si>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</si>
  <si>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</si>
  <si>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</si>
  <si>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</si>
  <si>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</si>
  <si>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</si>
  <si>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</si>
  <si>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</si>
  <si>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</si>
  <si>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</si>
  <si>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</si>
  <si>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</si>
  <si>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</si>
  <si>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</si>
  <si>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</si>
  <si>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</si>
  <si>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</si>
  <si>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</si>
  <si>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</si>
  <si>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</si>
  <si>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</si>
  <si>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</si>
  <si>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</si>
  <si>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</si>
  <si>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</si>
  <si>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</si>
  <si>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</si>
  <si>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</si>
  <si>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</si>
  <si>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</si>
  <si>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</si>
  <si>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</si>
  <si>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</si>
  <si>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</si>
  <si>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</si>
  <si>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</si>
  <si>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</si>
  <si>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</si>
  <si>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</si>
  <si>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</si>
  <si>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</si>
  <si>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</si>
  <si>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</si>
  <si>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</si>
  <si>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</si>
  <si>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</si>
  <si>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</si>
  <si>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</si>
  <si>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</si>
  <si>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</si>
  <si>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</si>
  <si>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</si>
  <si>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</si>
  <si>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</si>
  <si>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</si>
  <si>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</si>
  <si>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</si>
  <si>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</si>
  <si>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</si>
  <si>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</si>
  <si>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</si>
  <si>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</si>
  <si>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</si>
  <si>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</si>
  <si>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</si>
  <si>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</si>
  <si>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</si>
  <si>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</si>
  <si>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</si>
  <si>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</si>
  <si>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</si>
  <si>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</si>
  <si>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</si>
  <si>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</si>
  <si>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</si>
  <si>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</si>
  <si>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</si>
  <si>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</si>
  <si>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</si>
  <si>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</si>
  <si>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</si>
  <si>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</si>
  <si>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</si>
  <si>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</si>
  <si>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</si>
  <si>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</si>
  <si>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</si>
  <si>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</si>
  <si>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</si>
  <si>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</si>
  <si>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</si>
  <si>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</si>
  <si>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</si>
  <si>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</si>
  <si>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</si>
  <si>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</si>
  <si>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</si>
  <si>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</si>
  <si>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</si>
  <si>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</si>
  <si>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</si>
  <si>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</si>
  <si>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</si>
  <si>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</si>
  <si>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</si>
  <si>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</si>
  <si>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</si>
  <si>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</si>
  <si>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</si>
  <si>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</si>
  <si>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</si>
  <si>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</si>
  <si>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</si>
  <si>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</si>
  <si>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</si>
  <si>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</si>
  <si>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</si>
  <si>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</si>
  <si>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</si>
  <si>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</si>
  <si>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</si>
  <si>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</si>
  <si>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</si>
  <si>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</si>
  <si>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</si>
  <si>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</si>
  <si>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</si>
  <si>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</si>
  <si>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</si>
  <si>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</si>
  <si>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</si>
  <si>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</si>
  <si>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</si>
  <si>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</si>
  <si>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</si>
  <si>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</si>
  <si>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</si>
  <si>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</si>
  <si>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</si>
  <si>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</si>
  <si>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</si>
  <si>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</si>
  <si>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</si>
  <si>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</si>
  <si>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</si>
  <si>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</si>
  <si>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</si>
  <si>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</si>
  <si>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</si>
  <si>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</si>
  <si>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</si>
  <si>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</si>
  <si>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</si>
  <si>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</si>
  <si>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</si>
  <si>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</si>
  <si>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</si>
  <si>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</si>
  <si>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</si>
  <si>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</si>
  <si>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</si>
  <si>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</si>
  <si>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</si>
  <si>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</si>
  <si>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</si>
  <si>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</si>
  <si>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</si>
  <si>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</si>
  <si>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</si>
  <si>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</si>
  <si>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</si>
  <si>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</si>
  <si>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</si>
  <si>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</si>
  <si>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</si>
  <si>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</si>
  <si>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</si>
  <si>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</si>
  <si>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</si>
  <si>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</si>
  <si>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</si>
  <si>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</si>
  <si>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</si>
  <si>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</si>
  <si>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</si>
  <si>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</si>
  <si>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</si>
  <si>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</si>
  <si>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</si>
  <si>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</si>
  <si>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</si>
  <si>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</si>
  <si>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</si>
  <si>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</si>
  <si>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</si>
  <si>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</si>
  <si>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</si>
  <si>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</si>
  <si>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</si>
  <si>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</si>
  <si>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</si>
  <si>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</si>
  <si>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</si>
  <si>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</si>
  <si>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</si>
  <si>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</si>
  <si>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</si>
  <si>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</si>
  <si>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</si>
  <si>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</si>
  <si>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</si>
  <si>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</si>
  <si>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</si>
  <si>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</si>
  <si>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</si>
  <si>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</si>
  <si>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</si>
  <si>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</si>
  <si>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</si>
  <si>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</si>
  <si>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</si>
  <si>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</si>
  <si>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</si>
  <si>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</si>
  <si>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</si>
  <si>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</si>
  <si>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</si>
  <si>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</si>
  <si>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</si>
  <si>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</si>
  <si>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</si>
  <si>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</si>
  <si>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</si>
  <si>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</si>
  <si>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</si>
  <si>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</si>
  <si>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</si>
  <si>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</si>
  <si>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</si>
  <si>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</si>
  <si>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</si>
  <si>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</si>
  <si>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</si>
  <si>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</si>
  <si>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</si>
  <si>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</si>
  <si>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</si>
  <si>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</si>
  <si>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</si>
  <si>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</si>
  <si>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</si>
  <si>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</si>
  <si>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</si>
  <si>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</si>
  <si>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</si>
  <si>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</si>
  <si>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</si>
  <si>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</si>
  <si>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</si>
  <si>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</si>
  <si>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</si>
  <si>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</si>
  <si>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</si>
  <si>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</si>
  <si>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</si>
  <si>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</si>
  <si>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</si>
  <si>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</si>
  <si>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</si>
  <si>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</si>
  <si>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</si>
  <si>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</si>
  <si>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</si>
  <si>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</si>
  <si>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</si>
  <si>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</si>
  <si>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</si>
  <si>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</si>
  <si>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</si>
  <si>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</si>
  <si>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</si>
  <si>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</si>
  <si>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</si>
  <si>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</si>
  <si>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</si>
  <si>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</si>
  <si>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</si>
  <si>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</si>
  <si>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</si>
  <si>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</si>
  <si>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</si>
  <si>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</si>
  <si>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</si>
  <si>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</si>
  <si>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</si>
  <si>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</si>
  <si>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</si>
  <si>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</si>
  <si>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</si>
  <si>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</si>
  <si>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</si>
  <si>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</si>
  <si>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</si>
  <si>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</si>
  <si>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</si>
  <si>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</si>
  <si>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</si>
  <si>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</si>
  <si>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</si>
  <si>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</si>
  <si>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</si>
  <si>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</si>
  <si>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</si>
  <si>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</si>
  <si>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</si>
  <si>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</si>
  <si>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</si>
  <si>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</si>
  <si>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</si>
  <si>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</si>
  <si>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</si>
  <si>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</si>
  <si>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</si>
  <si>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</si>
  <si>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</si>
  <si>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</si>
  <si>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</si>
  <si>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</si>
  <si>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</si>
  <si>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</si>
  <si>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</si>
  <si>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</si>
  <si>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</si>
  <si>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</si>
  <si>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</si>
  <si>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</si>
  <si>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</si>
  <si>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</si>
  <si>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</si>
  <si>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</si>
  <si>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</si>
  <si>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</si>
  <si>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</si>
  <si>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</si>
  <si>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</si>
  <si>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</si>
  <si>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</si>
  <si>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</si>
  <si>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</si>
  <si>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</si>
  <si>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</si>
  <si>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</si>
  <si>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</si>
  <si>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</si>
  <si>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</si>
  <si>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</si>
  <si>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</si>
  <si>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</si>
  <si>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</si>
  <si>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</si>
  <si>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</si>
  <si>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</si>
  <si>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</si>
  <si>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</si>
  <si>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</si>
  <si>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</si>
  <si>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</si>
  <si>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</si>
  <si>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</si>
  <si>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</si>
  <si>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</si>
  <si>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</si>
  <si>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</si>
  <si>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</si>
  <si>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</si>
  <si>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</si>
  <si>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</si>
  <si>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</si>
  <si>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</si>
  <si>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</si>
  <si>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</si>
  <si>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</si>
  <si>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</si>
  <si>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</si>
  <si>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</si>
  <si>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</si>
  <si>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</si>
  <si>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</si>
  <si>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</si>
  <si>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</si>
  <si>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</si>
  <si>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</si>
  <si>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</si>
  <si>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</si>
  <si>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</si>
  <si>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</si>
  <si>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</si>
  <si>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</si>
  <si>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</si>
  <si>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</si>
  <si>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</si>
  <si>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</si>
  <si>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</si>
  <si>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</si>
  <si>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</si>
  <si>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</si>
  <si>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</si>
  <si>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</si>
  <si>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</si>
  <si>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</si>
  <si>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</si>
  <si>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</si>
  <si>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</si>
  <si>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</si>
  <si>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</si>
  <si>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</si>
  <si>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</si>
  <si>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</si>
  <si>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</si>
  <si>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</si>
  <si>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</si>
  <si>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</si>
  <si>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</si>
  <si>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</si>
  <si>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</si>
  <si>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</si>
  <si>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</si>
  <si>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</si>
  <si>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</si>
  <si>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</si>
  <si>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</si>
  <si>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</si>
  <si>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</si>
  <si>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</si>
  <si>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</si>
  <si>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</si>
  <si>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</si>
  <si>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</si>
  <si>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</si>
  <si>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</si>
  <si>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</si>
  <si>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</si>
  <si>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</si>
  <si>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</si>
  <si>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</si>
  <si>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</si>
  <si>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</si>
  <si>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</si>
  <si>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</si>
  <si>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</si>
  <si>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</si>
  <si>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</si>
  <si>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</si>
  <si>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</si>
  <si>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</si>
  <si>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</si>
  <si>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</si>
  <si>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</si>
  <si>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</si>
  <si>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</si>
  <si>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</si>
  <si>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</si>
  <si>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</si>
  <si>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</si>
  <si>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</si>
  <si>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</si>
  <si>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</si>
  <si>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</si>
  <si>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</si>
  <si>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</si>
  <si>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</si>
  <si>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</si>
  <si>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</si>
  <si>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</si>
  <si>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</si>
  <si>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</si>
  <si>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</si>
  <si>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</si>
  <si>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</si>
  <si>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</si>
  <si>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</si>
  <si>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</si>
  <si>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</si>
  <si>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</si>
  <si>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</si>
  <si>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</si>
  <si>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</si>
  <si>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</si>
  <si>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</si>
  <si>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</si>
  <si>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</si>
  <si>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</si>
  <si>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</si>
  <si>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</si>
  <si>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</si>
  <si>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</si>
  <si>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</si>
  <si>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</si>
  <si>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</si>
  <si>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</si>
  <si>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</si>
  <si>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</si>
  <si>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</si>
  <si>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</si>
  <si>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</si>
  <si>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</si>
  <si>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</si>
  <si>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</si>
  <si>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</si>
  <si>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</si>
  <si>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</si>
  <si>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</si>
  <si>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</si>
  <si>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</si>
  <si>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</si>
  <si>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</si>
  <si>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</si>
  <si>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</si>
  <si>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</si>
  <si>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</si>
  <si>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</si>
  <si>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</si>
  <si>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</si>
  <si>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</si>
  <si>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</si>
  <si>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</si>
  <si>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</si>
  <si>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</si>
  <si>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</si>
  <si>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</si>
  <si>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</si>
  <si>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</si>
  <si>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</si>
  <si>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</si>
  <si>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</si>
  <si>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</si>
  <si>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</si>
  <si>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</si>
  <si>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</si>
  <si>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</si>
  <si>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</si>
  <si>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</si>
  <si>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</si>
  <si>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</si>
  <si>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</si>
  <si>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</si>
  <si>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</si>
  <si>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</si>
  <si>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</si>
  <si>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</si>
  <si>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</si>
  <si>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</si>
  <si>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</si>
  <si>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</si>
  <si>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</si>
  <si>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</si>
  <si>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</si>
  <si>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</si>
  <si>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</si>
  <si>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</si>
  <si>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</si>
  <si>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</si>
  <si>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</si>
  <si>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</si>
  <si>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</si>
  <si>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</si>
  <si>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</si>
  <si>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</si>
  <si>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</si>
  <si>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</si>
  <si>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</si>
  <si>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</si>
  <si>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</si>
  <si>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</si>
  <si>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</si>
  <si>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</si>
  <si>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</si>
  <si>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</si>
  <si>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</si>
  <si>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</si>
  <si>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</si>
  <si>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</si>
  <si>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</si>
  <si>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</si>
  <si>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</si>
  <si>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</si>
  <si>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</si>
  <si>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</si>
  <si>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</si>
  <si>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</si>
  <si>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</si>
  <si>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</si>
  <si>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</si>
  <si>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</si>
  <si>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</si>
  <si>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</si>
  <si>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</si>
  <si>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</si>
  <si>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</si>
  <si>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</si>
  <si>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</si>
  <si>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</si>
  <si>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</si>
  <si>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</si>
  <si>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</si>
  <si>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</si>
  <si>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</si>
  <si>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</si>
  <si>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</si>
  <si>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</si>
  <si>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</si>
  <si>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</si>
  <si>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</si>
  <si>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</si>
  <si>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</si>
  <si>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</si>
  <si>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</si>
  <si>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</si>
  <si>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</si>
  <si>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</si>
  <si>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</si>
  <si>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</si>
  <si>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</si>
  <si>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</si>
  <si>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</si>
  <si>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</si>
  <si>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</si>
  <si>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</si>
  <si>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</si>
  <si>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</si>
  <si>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</si>
  <si>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</si>
  <si>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</si>
  <si>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</si>
  <si>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</si>
  <si>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</si>
  <si>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</si>
  <si>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</si>
  <si>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</si>
  <si>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</si>
  <si>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</si>
  <si>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</si>
  <si>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</si>
  <si>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</si>
  <si>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</si>
  <si>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</si>
  <si>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</si>
  <si>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</si>
  <si>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</si>
  <si>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</si>
  <si>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</si>
  <si>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</si>
  <si>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</si>
  <si>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</si>
  <si>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</si>
  <si>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</si>
  <si>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</si>
  <si>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</si>
  <si>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</si>
  <si>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</si>
  <si>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</si>
  <si>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</si>
  <si>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</si>
  <si>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</si>
  <si>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</si>
  <si>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</si>
  <si>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</si>
  <si>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</si>
  <si>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</si>
  <si>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</si>
  <si>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</si>
  <si>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</si>
  <si>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</si>
  <si>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</si>
  <si>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</si>
  <si>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</si>
  <si>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</si>
  <si>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</si>
  <si>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</si>
  <si>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</si>
  <si>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</si>
  <si>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</si>
  <si>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</si>
  <si>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</si>
  <si>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</si>
  <si>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</si>
  <si>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</si>
  <si>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</si>
  <si>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</si>
  <si>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</si>
  <si>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</si>
  <si>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</si>
  <si>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</si>
  <si>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</si>
  <si>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</si>
  <si>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</si>
  <si>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</si>
  <si>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</si>
  <si>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</si>
  <si>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</si>
  <si>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</si>
  <si>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</si>
  <si>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</si>
  <si>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</si>
  <si>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</si>
  <si>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</si>
  <si>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</si>
  <si>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</si>
  <si>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</si>
  <si>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</si>
  <si>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</si>
  <si>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</si>
  <si>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</si>
  <si>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</si>
  <si>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</si>
  <si>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</si>
  <si>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</si>
  <si>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</si>
  <si>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</si>
  <si>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</si>
  <si>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</si>
  <si>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</si>
  <si>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</si>
  <si>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</si>
  <si>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</si>
  <si>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</si>
  <si>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</si>
  <si>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</si>
  <si>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</si>
  <si>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</si>
  <si>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</si>
  <si>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</si>
  <si>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</si>
  <si>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</si>
  <si>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</si>
  <si>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</si>
  <si>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</si>
  <si>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</si>
  <si>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</si>
  <si>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</si>
  <si>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</si>
  <si>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</si>
  <si>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</si>
  <si>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</si>
  <si>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</si>
  <si>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</si>
  <si>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</si>
  <si>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</si>
  <si>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</si>
  <si>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</si>
  <si>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</si>
  <si>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</si>
  <si>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</si>
  <si>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</si>
  <si>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</si>
  <si>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</si>
  <si>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</si>
  <si>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</si>
  <si>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</si>
  <si>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</si>
  <si>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</si>
  <si>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</si>
  <si>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</si>
  <si>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</si>
  <si>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</si>
  <si>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</si>
  <si>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</si>
  <si>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</si>
  <si>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</si>
  <si>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</si>
  <si>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</si>
  <si>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</si>
  <si>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</si>
  <si>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</si>
  <si>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</si>
  <si>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</si>
  <si>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</si>
  <si>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</si>
  <si>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</si>
  <si>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</si>
  <si>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</si>
  <si>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</si>
  <si>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</si>
  <si>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</si>
  <si>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</si>
  <si>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</si>
  <si>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</si>
  <si>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</si>
  <si>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</si>
  <si>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</si>
  <si>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</si>
  <si>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</si>
  <si>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</si>
  <si>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</si>
  <si>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</si>
  <si>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</si>
  <si>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</si>
  <si>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</si>
  <si>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</si>
  <si>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</si>
  <si>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</si>
  <si>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</si>
  <si>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</si>
  <si>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</si>
  <si>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</si>
  <si>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</si>
  <si>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</si>
  <si>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</si>
  <si>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</si>
  <si>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</si>
  <si>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</si>
  <si>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</si>
  <si>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</si>
  <si>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</si>
  <si>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</si>
  <si>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</si>
  <si>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</si>
  <si>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</si>
  <si>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</si>
  <si>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</si>
  <si>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</si>
  <si>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</si>
  <si>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</si>
  <si>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</si>
  <si>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</si>
  <si>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</si>
  <si>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</si>
  <si>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</si>
  <si>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</si>
  <si>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</si>
  <si>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</si>
  <si>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</si>
  <si>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</si>
  <si>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</si>
  <si>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</si>
  <si>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</si>
  <si>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</si>
  <si>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</si>
  <si>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</si>
  <si>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</si>
  <si>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</si>
  <si>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</si>
  <si>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</si>
  <si>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</si>
  <si>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</si>
  <si>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</si>
  <si>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</si>
  <si>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</si>
  <si>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</si>
  <si>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</si>
  <si>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</si>
  <si>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</si>
  <si>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</si>
  <si>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</si>
  <si>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</si>
  <si>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</si>
  <si>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</si>
  <si>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</si>
  <si>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</si>
  <si>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</si>
  <si>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</si>
  <si>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</si>
  <si>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</si>
  <si>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</si>
  <si>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</si>
  <si>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</si>
  <si>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</si>
  <si>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</si>
  <si>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</si>
  <si>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</si>
  <si>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</si>
  <si>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</si>
  <si>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</si>
  <si>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</si>
  <si>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</si>
  <si>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</si>
  <si>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</si>
  <si>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</si>
  <si>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</si>
  <si>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</si>
  <si>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</si>
  <si>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</si>
  <si>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</si>
  <si>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</si>
  <si>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</si>
  <si>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</si>
  <si>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</si>
  <si>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</si>
  <si>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</si>
  <si>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</si>
  <si>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</si>
  <si>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</si>
  <si>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</si>
  <si>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</si>
  <si>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</si>
  <si>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</si>
  <si>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</si>
  <si>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</si>
  <si>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</si>
  <si>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</si>
  <si>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</si>
  <si>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</si>
  <si>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</si>
  <si>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</si>
  <si>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</si>
  <si>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</si>
  <si>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</si>
  <si>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</si>
  <si>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</si>
  <si>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</si>
  <si>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</si>
  <si>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</si>
  <si>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</si>
  <si>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</si>
  <si>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</si>
  <si>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</si>
  <si>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</si>
  <si>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</si>
  <si>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</si>
  <si>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</si>
  <si>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</si>
  <si>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</si>
  <si>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</si>
  <si>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</si>
  <si>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</si>
  <si>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</si>
  <si>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</si>
  <si>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</si>
  <si>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</si>
  <si>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</si>
  <si>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</si>
  <si>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</si>
  <si>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</si>
  <si>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</si>
  <si>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</si>
  <si>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</si>
  <si>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</si>
  <si>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</si>
  <si>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</si>
  <si>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</si>
  <si>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</si>
  <si>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</si>
  <si>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</si>
  <si>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</si>
  <si>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</si>
  <si>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</si>
  <si>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</si>
  <si>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</si>
  <si>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</si>
  <si>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</si>
  <si>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</si>
  <si>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</si>
  <si>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</si>
  <si>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</si>
  <si>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</si>
  <si>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</si>
  <si>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</si>
  <si>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</si>
  <si>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</si>
  <si>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</si>
  <si>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</si>
  <si>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</si>
  <si>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</si>
  <si>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</si>
  <si>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</si>
  <si>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</si>
  <si>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</si>
  <si>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</si>
  <si>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</si>
  <si>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</si>
  <si>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</si>
  <si>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</si>
  <si>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</si>
  <si>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</si>
  <si>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</si>
  <si>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</si>
  <si>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</si>
  <si>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</si>
  <si>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</si>
  <si>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</si>
  <si>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</si>
  <si>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</si>
  <si>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</si>
  <si>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</si>
  <si>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</si>
  <si>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</si>
  <si>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</si>
  <si>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</si>
  <si>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</si>
  <si>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</si>
  <si>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</si>
  <si>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</si>
  <si>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</si>
  <si>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</si>
  <si>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</si>
  <si>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</si>
  <si>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</si>
  <si>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</si>
  <si>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</si>
  <si>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</si>
  <si>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</si>
  <si>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</si>
  <si>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</si>
  <si>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</si>
  <si>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</si>
  <si>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</si>
  <si>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</si>
  <si>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</si>
  <si>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</si>
  <si>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</si>
  <si>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</si>
  <si>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</si>
  <si>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</si>
  <si>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</si>
  <si>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</si>
  <si>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</si>
  <si>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</si>
  <si>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</si>
  <si>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</si>
  <si>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</si>
  <si>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</si>
  <si>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</si>
  <si>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</si>
  <si>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</si>
  <si>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</si>
  <si>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</si>
  <si>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</si>
  <si>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</si>
  <si>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</si>
  <si>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</si>
  <si>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</si>
  <si>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</si>
  <si>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</si>
  <si>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</si>
  <si>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</si>
  <si>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</si>
  <si>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</si>
  <si>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</si>
  <si>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</si>
  <si>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</si>
  <si>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</si>
  <si>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</si>
  <si>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</si>
  <si>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</si>
  <si>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</si>
  <si>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</si>
  <si>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</si>
  <si>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</si>
  <si>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</si>
  <si>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</si>
  <si>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</si>
  <si>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</si>
  <si>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</si>
  <si>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</si>
  <si>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</si>
  <si>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</si>
  <si>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</si>
  <si>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</si>
  <si>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</si>
  <si>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</si>
  <si>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</si>
  <si>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</si>
  <si>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</si>
  <si>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</si>
  <si>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</si>
  <si>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</si>
  <si>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</si>
  <si>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</si>
  <si>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</si>
  <si>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</si>
  <si>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</si>
  <si>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</si>
  <si>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</si>
  <si>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</si>
  <si>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</si>
  <si>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</si>
  <si>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</si>
  <si>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</si>
  <si>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</si>
  <si>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</si>
  <si>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</si>
  <si>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</si>
  <si>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</si>
  <si>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</si>
  <si>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</si>
  <si>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</si>
  <si>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</si>
  <si>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</si>
  <si>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</si>
  <si>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</si>
  <si>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</si>
  <si>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</si>
  <si>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</si>
  <si>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</si>
  <si>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</si>
  <si>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</si>
  <si>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</si>
  <si>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</si>
  <si>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</si>
  <si>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</si>
  <si>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</si>
  <si>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</si>
  <si>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</si>
  <si>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</si>
  <si>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</si>
  <si>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</si>
  <si>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</si>
  <si>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</si>
  <si>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</si>
  <si>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</si>
  <si>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</si>
  <si>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</si>
  <si>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</si>
  <si>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</si>
  <si>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</si>
  <si>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</si>
  <si>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</si>
  <si>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</si>
  <si>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</si>
  <si>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</si>
  <si>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</si>
  <si>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</si>
  <si>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</si>
  <si>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</si>
  <si>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</si>
  <si>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</si>
  <si>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</si>
  <si>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</si>
  <si>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</si>
  <si>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</si>
  <si>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</si>
  <si>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</si>
  <si>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</si>
  <si>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</si>
  <si>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</si>
  <si>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</si>
  <si>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</si>
  <si>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</si>
  <si>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</si>
  <si>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</si>
  <si>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</si>
  <si>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</si>
  <si>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</si>
  <si>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</si>
  <si>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</si>
  <si>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</si>
  <si>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</si>
  <si>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</si>
  <si>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</si>
  <si>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</si>
  <si>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</si>
  <si>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</si>
  <si>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</si>
  <si>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</si>
  <si>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</si>
  <si>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</si>
  <si>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</si>
  <si>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</si>
  <si>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</si>
  <si>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</si>
  <si>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</si>
  <si>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</si>
  <si>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</si>
  <si>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</si>
  <si>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</si>
  <si>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</si>
  <si>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</si>
  <si>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</si>
  <si>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</si>
  <si>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</si>
  <si>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</si>
  <si>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</si>
  <si>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</si>
  <si>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</si>
  <si>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</si>
  <si>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</si>
  <si>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</si>
  <si>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</si>
  <si>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</si>
  <si>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</si>
  <si>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</si>
  <si>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</si>
  <si>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</si>
  <si>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</si>
  <si>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</si>
  <si>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</si>
  <si>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</si>
  <si>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</si>
  <si>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</si>
  <si>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</si>
  <si>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</si>
  <si>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</si>
  <si>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</si>
  <si>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</si>
  <si>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</si>
  <si>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</si>
  <si>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</si>
  <si>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</si>
  <si>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</si>
  <si>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</si>
  <si>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</si>
  <si>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</si>
  <si>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</si>
  <si>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</si>
  <si>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</si>
  <si>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</si>
  <si>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</si>
  <si>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</si>
  <si>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</si>
  <si>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</si>
  <si>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</si>
  <si>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</si>
  <si>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</si>
  <si>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</si>
  <si>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</si>
  <si>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</si>
  <si>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</si>
  <si>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</si>
  <si>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</si>
  <si>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</si>
  <si>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</si>
  <si>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</si>
  <si>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</si>
  <si>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</si>
  <si>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</si>
  <si>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</si>
  <si>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</si>
  <si>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</si>
  <si>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</si>
  <si>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</si>
  <si>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</si>
  <si>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</si>
  <si>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</si>
  <si>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</si>
  <si>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</si>
  <si>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</si>
  <si>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</si>
  <si>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</si>
  <si>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</si>
  <si>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</si>
  <si>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</si>
  <si>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</si>
  <si>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</si>
  <si>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</si>
  <si>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</si>
  <si>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</si>
  <si>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</si>
  <si>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</si>
  <si>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</si>
  <si>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</si>
  <si>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</si>
  <si>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</si>
  <si>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</si>
  <si>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</si>
  <si>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</si>
  <si>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</si>
  <si>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</si>
  <si>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</si>
  <si>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</si>
  <si>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</si>
  <si>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</si>
  <si>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</si>
  <si>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</si>
  <si>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</si>
  <si>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</si>
  <si>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</si>
  <si>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</si>
  <si>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</si>
  <si>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</si>
  <si>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</si>
  <si>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</si>
  <si>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</si>
  <si>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</si>
  <si>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</si>
  <si>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</si>
  <si>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</si>
  <si>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</si>
  <si>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</si>
  <si>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</si>
  <si>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</si>
  <si>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</si>
  <si>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</si>
  <si>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</si>
  <si>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</si>
  <si>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</si>
  <si>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</si>
  <si>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</si>
  <si>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</si>
  <si>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</si>
  <si>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</si>
  <si>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</si>
  <si>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</si>
  <si>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</si>
  <si>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</si>
  <si>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</si>
  <si>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</si>
  <si>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</si>
  <si>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</si>
  <si>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</si>
  <si>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</si>
  <si>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</si>
  <si>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</si>
  <si>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</si>
  <si>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</si>
  <si>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</si>
  <si>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</si>
  <si>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</si>
  <si>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</si>
  <si>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</si>
  <si>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</si>
  <si>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</si>
  <si>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</si>
  <si>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</si>
  <si>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</si>
  <si>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</si>
  <si>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</si>
  <si>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</si>
  <si>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</si>
  <si>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</si>
  <si>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</si>
  <si>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</si>
  <si>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</si>
  <si>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</si>
  <si>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</si>
  <si>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</si>
  <si>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</si>
  <si>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</si>
  <si>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</si>
  <si>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</si>
  <si>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</si>
  <si>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</si>
  <si>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</si>
  <si>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</si>
  <si>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</si>
  <si>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</si>
  <si>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</si>
  <si>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</si>
  <si>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</si>
  <si>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</si>
  <si>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</si>
  <si>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</si>
  <si>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</si>
  <si>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</si>
  <si>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</si>
  <si>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</si>
  <si>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</si>
  <si>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</si>
  <si>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</si>
  <si>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</si>
  <si>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</si>
  <si>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</si>
  <si>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</si>
  <si>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</si>
  <si>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</si>
  <si>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</si>
  <si>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</si>
  <si>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</si>
  <si>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</si>
  <si>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</si>
  <si>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</si>
  <si>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</si>
  <si>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</si>
  <si>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</si>
  <si>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</si>
  <si>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</si>
  <si>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</si>
  <si>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</si>
  <si>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</si>
  <si>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</si>
  <si>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</si>
  <si>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</si>
  <si>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</si>
  <si>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</si>
  <si>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</si>
  <si>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</si>
  <si>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</si>
  <si>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</si>
  <si>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</si>
  <si>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</si>
  <si>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</si>
  <si>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</si>
  <si>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</si>
  <si>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</si>
  <si>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</si>
  <si>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</si>
  <si>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</si>
  <si>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</si>
  <si>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</si>
  <si>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</si>
  <si>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</si>
  <si>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</si>
  <si>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</si>
  <si>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</si>
  <si>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</si>
  <si>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</si>
  <si>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</si>
  <si>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</si>
  <si>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</si>
  <si>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</si>
  <si>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</si>
  <si>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</si>
  <si>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</si>
  <si>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</si>
  <si>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</si>
  <si>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</si>
  <si>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</si>
  <si>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</si>
  <si>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</si>
  <si>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</si>
  <si>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</si>
  <si>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</si>
  <si>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</si>
  <si>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</si>
  <si>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</si>
  <si>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</si>
  <si>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</si>
  <si>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</si>
  <si>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</si>
  <si>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</si>
  <si>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</si>
  <si>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</si>
  <si>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</si>
  <si>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</si>
  <si>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</si>
  <si>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</si>
  <si>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</si>
  <si>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</si>
  <si>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</si>
  <si>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</si>
  <si>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</si>
  <si>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</si>
  <si>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</si>
  <si>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</si>
  <si>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</si>
  <si>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</si>
  <si>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</si>
  <si>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</si>
  <si>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</si>
  <si>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</si>
  <si>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</si>
  <si>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</si>
  <si>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</si>
  <si>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</si>
  <si>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</si>
  <si>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</si>
  <si>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</si>
  <si>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</si>
  <si>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</si>
  <si>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</si>
  <si>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</si>
  <si>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</si>
  <si>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</si>
  <si>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</si>
  <si>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</si>
  <si>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</si>
  <si>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</si>
  <si>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</si>
  <si>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</si>
  <si>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</si>
  <si>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</si>
  <si>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</si>
  <si>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</si>
  <si>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</si>
  <si>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</si>
  <si>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</si>
  <si>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</si>
  <si>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</si>
  <si>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</si>
  <si>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</si>
  <si>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</si>
  <si>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</si>
  <si>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</si>
  <si>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</si>
  <si>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</si>
  <si>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</si>
  <si>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</si>
  <si>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</si>
  <si>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</si>
  <si>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</si>
  <si>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</si>
  <si>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</si>
  <si>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</si>
  <si>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</si>
  <si>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</si>
  <si>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</si>
  <si>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</si>
  <si>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</si>
  <si>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</si>
  <si>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</si>
  <si>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</si>
  <si>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</si>
  <si>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</si>
  <si>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</si>
  <si>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</si>
  <si>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</si>
  <si>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</si>
  <si>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</si>
  <si>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</si>
  <si>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</si>
  <si>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</si>
  <si>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</si>
  <si>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</si>
  <si>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</si>
  <si>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</si>
  <si>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</si>
  <si>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</si>
  <si>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</si>
  <si>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</si>
  <si>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</si>
  <si>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</si>
  <si>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</si>
  <si>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</si>
  <si>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</si>
  <si>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</si>
  <si>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</si>
  <si>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</si>
  <si>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</si>
  <si>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</si>
  <si>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</si>
  <si>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</si>
  <si>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</si>
  <si>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</si>
  <si>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</si>
  <si>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</si>
  <si>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</si>
  <si>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</si>
  <si>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</si>
  <si>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</si>
  <si>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</si>
  <si>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</si>
  <si>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</si>
  <si>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</si>
  <si>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</si>
  <si>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</si>
  <si>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</si>
  <si>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</si>
  <si>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</si>
  <si>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</si>
  <si>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</si>
  <si>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</si>
  <si>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</si>
  <si>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</si>
  <si>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</si>
  <si>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</si>
  <si>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</si>
  <si>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</si>
  <si>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</si>
  <si>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</si>
  <si>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</si>
  <si>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</si>
  <si>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</si>
  <si>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</si>
  <si>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</si>
  <si>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</si>
  <si>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</si>
  <si>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</si>
  <si>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</si>
  <si>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</si>
  <si>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</si>
  <si>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</si>
  <si>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</si>
  <si>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</si>
  <si>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</si>
  <si>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</si>
  <si>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</si>
  <si>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</si>
  <si>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</si>
  <si>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</si>
  <si>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</si>
  <si>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</si>
  <si>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</si>
  <si>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</si>
  <si>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</si>
  <si>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</si>
  <si>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</si>
  <si>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</si>
  <si>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</si>
  <si>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</si>
  <si>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</si>
  <si>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</si>
  <si>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</si>
  <si>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</si>
  <si>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</si>
  <si>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</si>
  <si>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</si>
  <si>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</si>
  <si>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</si>
  <si>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</si>
  <si>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</si>
  <si>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</si>
  <si>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</si>
  <si>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</si>
  <si>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</si>
  <si>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</si>
  <si>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</si>
  <si>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</si>
  <si>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</si>
  <si>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</si>
  <si>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</si>
  <si>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</si>
  <si>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</si>
  <si>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</si>
  <si>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</si>
  <si>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</si>
  <si>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</si>
  <si>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</si>
  <si>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</si>
  <si>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</si>
  <si>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</si>
  <si>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</si>
  <si>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</si>
  <si>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</si>
  <si>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</si>
  <si>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</si>
  <si>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</si>
  <si>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</si>
  <si>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</si>
  <si>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</si>
  <si>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</si>
  <si>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</si>
  <si>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</si>
  <si>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</si>
  <si>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D6-7 Ca, D4-5i, D3p, D1-2r, C1-3r</t>
  </si>
  <si>
    <t>Exotic Lonicera spp.</t>
  </si>
  <si>
    <t>H1-3r</t>
  </si>
  <si>
    <t>Viola sp.</t>
  </si>
  <si>
    <t>Maianthemum sp.</t>
  </si>
  <si>
    <t>G1-3b</t>
  </si>
  <si>
    <t>LHHL32022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</si>
</sst>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63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1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4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0" fillId="0" borderId="0" xfId="0"/>
    <xf numFmtId="0" fontId="1" fillId="0" borderId="0" xfId="46" applyFont="1"/>
    <xf numFmtId="0" fontId="10" fillId="0" borderId="25" xfId="1" applyFont="1" applyBorder="1"/>
    <xf numFmtId="0" fontId="10" fillId="0" borderId="26" xfId="1" applyFont="1" applyBorder="1" applyAlignment="1">
      <alignment horizontal="left"/>
    </xf>
    <xf numFmtId="0" fontId="10" fillId="0" borderId="26" xfId="1" applyFont="1" applyBorder="1"/>
    <xf numFmtId="0" fontId="10" fillId="0" borderId="25" xfId="1" applyFont="1" applyBorder="1" applyAlignment="1">
      <alignment horizontal="left"/>
    </xf>
    <xf numFmtId="0" fontId="10" fillId="0" borderId="25" xfId="0" applyFont="1" applyBorder="1"/>
    <xf numFmtId="0" fontId="10" fillId="0" borderId="33" xfId="1" applyFont="1" applyBorder="1"/>
    <xf numFmtId="0" fontId="10" fillId="0" borderId="0" xfId="1" applyFont="1"/>
    <xf numFmtId="0" fontId="0" fillId="0" borderId="25" xfId="0" applyBorder="1" applyAlignment="1">
      <alignment horizontal="center"/>
    </xf>
    <xf numFmtId="0" fontId="10" fillId="0" borderId="35" xfId="1" applyFont="1" applyBorder="1"/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6" t="s">
        <v>57</v>
      </c>
      <c r="B2" s="146"/>
      <c r="C2" s="146"/>
      <c r="D2" s="146"/>
      <c r="E2" s="146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8" t="s">
        <v>5390</v>
      </c>
      <c r="B22" s="148"/>
      <c r="C22" s="148"/>
      <c r="D22" s="148"/>
      <c r="E22" s="148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7" t="s">
        <v>5391</v>
      </c>
      <c r="B24" s="147"/>
      <c r="C24" s="147"/>
      <c r="D24" s="147"/>
      <c r="E24" s="147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7" t="s">
        <v>61</v>
      </c>
      <c r="B39" s="147"/>
      <c r="C39" s="147"/>
      <c r="D39" s="147"/>
      <c r="E39" s="147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7" t="s">
        <v>62</v>
      </c>
      <c r="B45" s="147"/>
      <c r="C45" s="147"/>
      <c r="D45" s="147"/>
      <c r="E45" s="147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2" t="s">
        <v>43</v>
      </c>
      <c r="B93" s="143"/>
      <c r="C93" s="145"/>
      <c r="D93" s="149" t="s">
        <v>44</v>
      </c>
      <c r="E93" s="144"/>
    </row>
    <row r="94" spans="1:5" x14ac:dyDescent="0.2">
      <c r="A94" s="73" t="s">
        <v>23</v>
      </c>
      <c r="B94" s="140" t="s">
        <v>30</v>
      </c>
      <c r="C94" s="141"/>
      <c r="D94" s="3" t="s">
        <v>46</v>
      </c>
      <c r="E94" s="9">
        <v>8</v>
      </c>
    </row>
    <row r="95" spans="1:5" x14ac:dyDescent="0.2">
      <c r="A95" s="73" t="s">
        <v>24</v>
      </c>
      <c r="B95" s="136" t="s">
        <v>31</v>
      </c>
      <c r="C95" s="137"/>
      <c r="D95" s="3" t="s">
        <v>47</v>
      </c>
      <c r="E95" s="9">
        <v>7</v>
      </c>
    </row>
    <row r="96" spans="1:5" x14ac:dyDescent="0.2">
      <c r="A96" s="73" t="s">
        <v>3</v>
      </c>
      <c r="B96" s="136" t="s">
        <v>32</v>
      </c>
      <c r="C96" s="137"/>
      <c r="D96" s="3" t="s">
        <v>48</v>
      </c>
      <c r="E96" s="9">
        <v>6</v>
      </c>
    </row>
    <row r="97" spans="1:5" x14ac:dyDescent="0.2">
      <c r="A97" s="73" t="s">
        <v>25</v>
      </c>
      <c r="B97" s="136" t="s">
        <v>33</v>
      </c>
      <c r="C97" s="137"/>
      <c r="D97" s="3" t="s">
        <v>49</v>
      </c>
      <c r="E97" s="9">
        <v>5</v>
      </c>
    </row>
    <row r="98" spans="1:5" x14ac:dyDescent="0.2">
      <c r="A98" s="73" t="s">
        <v>26</v>
      </c>
      <c r="B98" s="136" t="s">
        <v>34</v>
      </c>
      <c r="C98" s="137"/>
      <c r="D98" s="3" t="s">
        <v>50</v>
      </c>
      <c r="E98" s="9">
        <v>4</v>
      </c>
    </row>
    <row r="99" spans="1:5" x14ac:dyDescent="0.2">
      <c r="A99" s="73" t="s">
        <v>27</v>
      </c>
      <c r="B99" s="136" t="s">
        <v>35</v>
      </c>
      <c r="C99" s="137"/>
      <c r="D99" s="3" t="s">
        <v>4</v>
      </c>
      <c r="E99" s="9">
        <v>3</v>
      </c>
    </row>
    <row r="100" spans="1:5" x14ac:dyDescent="0.2">
      <c r="A100" s="73" t="s">
        <v>2</v>
      </c>
      <c r="B100" s="136" t="s">
        <v>36</v>
      </c>
      <c r="C100" s="137"/>
      <c r="D100" s="3" t="s">
        <v>5</v>
      </c>
      <c r="E100" s="9">
        <v>2</v>
      </c>
    </row>
    <row r="101" spans="1:5" x14ac:dyDescent="0.2">
      <c r="A101" s="73" t="s">
        <v>28</v>
      </c>
      <c r="B101" s="136" t="s">
        <v>37</v>
      </c>
      <c r="C101" s="137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8" t="s">
        <v>38</v>
      </c>
      <c r="C102" s="139"/>
      <c r="D102" s="5"/>
      <c r="E102" s="8"/>
    </row>
    <row r="103" spans="1:5" ht="13.5" thickBot="1" x14ac:dyDescent="0.25">
      <c r="A103" s="142" t="s">
        <v>68</v>
      </c>
      <c r="B103" s="143"/>
      <c r="C103" s="145"/>
      <c r="D103" s="149" t="s">
        <v>45</v>
      </c>
      <c r="E103" s="144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2" t="s">
        <v>21</v>
      </c>
      <c r="B112" s="143"/>
      <c r="C112" s="144"/>
    </row>
    <row r="113" spans="1:3" x14ac:dyDescent="0.2">
      <c r="A113" s="73">
        <v>1</v>
      </c>
      <c r="B113" s="140" t="s">
        <v>40</v>
      </c>
      <c r="C113" s="141"/>
    </row>
    <row r="114" spans="1:3" x14ac:dyDescent="0.2">
      <c r="A114" s="73" t="s">
        <v>39</v>
      </c>
      <c r="B114" s="136" t="s">
        <v>41</v>
      </c>
      <c r="C114" s="137"/>
    </row>
    <row r="115" spans="1:3" x14ac:dyDescent="0.2">
      <c r="A115" s="74" t="s">
        <v>15</v>
      </c>
      <c r="B115" s="134" t="s">
        <v>42</v>
      </c>
      <c r="C115" s="135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6" t="s">
        <v>127</v>
      </c>
      <c r="B1" s="146"/>
      <c r="C1" s="146"/>
      <c r="D1" s="146"/>
      <c r="E1" s="146"/>
      <c r="F1" s="146"/>
      <c r="G1" s="146"/>
      <c r="H1" s="14"/>
    </row>
    <row r="2" spans="1:14" x14ac:dyDescent="0.2">
      <c r="A2" s="152" t="s">
        <v>138</v>
      </c>
      <c r="B2" s="152"/>
      <c r="C2" s="15"/>
      <c r="D2" s="15"/>
      <c r="E2" s="15"/>
      <c r="F2" s="15"/>
      <c r="G2" s="15"/>
      <c r="H2" s="15"/>
    </row>
    <row r="3" spans="1:14" x14ac:dyDescent="0.2">
      <c r="A3" s="153" t="s">
        <v>52</v>
      </c>
      <c r="B3" s="153"/>
      <c r="C3" s="15"/>
      <c r="D3" s="15"/>
      <c r="E3" s="15"/>
      <c r="F3" s="15"/>
      <c r="G3" s="15"/>
      <c r="H3" s="15"/>
    </row>
    <row r="4" spans="1:14" x14ac:dyDescent="0.2">
      <c r="A4" s="153" t="s">
        <v>55</v>
      </c>
      <c r="B4" s="153"/>
      <c r="C4" s="15"/>
      <c r="D4" s="15"/>
      <c r="E4" s="15"/>
      <c r="F4" s="15"/>
      <c r="G4" s="15"/>
      <c r="H4" s="15"/>
    </row>
    <row r="5" spans="1:14" x14ac:dyDescent="0.2">
      <c r="A5" s="153" t="s">
        <v>51</v>
      </c>
      <c r="B5" s="153"/>
      <c r="C5" s="15"/>
      <c r="D5" s="15"/>
      <c r="E5" s="15"/>
      <c r="F5" s="15"/>
      <c r="G5" s="15"/>
      <c r="H5" s="15"/>
    </row>
    <row r="6" spans="1:14" x14ac:dyDescent="0.2">
      <c r="A6" s="150" t="s">
        <v>128</v>
      </c>
      <c r="B6" s="150"/>
    </row>
    <row r="7" spans="1:14" x14ac:dyDescent="0.2">
      <c r="A7" s="150" t="s">
        <v>129</v>
      </c>
      <c r="B7" s="150"/>
      <c r="C7" s="151"/>
      <c r="D7" s="151"/>
      <c r="E7" s="151"/>
      <c r="F7" s="15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693" zoomScale="70" zoomScaleNormal="70" workbookViewId="0">
      <selection activeCell="A1710" sqref="A1710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1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3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8" t="s">
        <v>5439</v>
      </c>
      <c r="C1120" s="39">
        <v>0</v>
      </c>
      <c r="D1120" s="119" t="s">
        <v>149</v>
      </c>
      <c r="E1120" s="120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2" customFormat="1" ht="15.75" thickBot="1" x14ac:dyDescent="0.3">
      <c r="A1186" s="115" t="s">
        <v>5435</v>
      </c>
      <c r="C1186" s="112">
        <v>0</v>
      </c>
      <c r="D1186" s="112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3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6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3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8" t="s">
        <v>5438</v>
      </c>
      <c r="C2392" s="39">
        <v>3</v>
      </c>
      <c r="D2392" s="119" t="s">
        <v>157</v>
      </c>
      <c r="E2392" s="120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3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0" customFormat="1" ht="15" x14ac:dyDescent="0.25">
      <c r="A2524" s="111" t="s">
        <v>5428</v>
      </c>
      <c r="C2524" s="110">
        <v>3</v>
      </c>
      <c r="D2524" s="110" t="s">
        <v>149</v>
      </c>
      <c r="E2524" s="110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4" customFormat="1" x14ac:dyDescent="0.2">
      <c r="A2670" s="36" t="s">
        <v>5436</v>
      </c>
      <c r="C2670" s="114">
        <v>1</v>
      </c>
      <c r="D2670" s="114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7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4" t="s">
        <v>127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 x14ac:dyDescent="0.2">
      <c r="A2" s="86" t="s">
        <v>138</v>
      </c>
      <c r="B2" s="46" t="s">
        <v>5449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5"/>
      <c r="C7" s="155"/>
      <c r="D7" s="155"/>
      <c r="E7" s="155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33" customFormat="1" ht="14.25" thickTop="1" thickBot="1" x14ac:dyDescent="0.25">
      <c r="A10" s="45" t="s">
        <v>5443</v>
      </c>
      <c r="B10" s="160"/>
      <c r="C10" s="160"/>
      <c r="D10" s="160"/>
      <c r="E10" s="160"/>
      <c r="F10" s="160"/>
      <c r="G10" s="160"/>
      <c r="H10" s="160"/>
      <c r="I10" s="161"/>
      <c r="J10" s="160"/>
      <c r="K10" s="160"/>
      <c r="L10" s="160"/>
      <c r="M10" s="160"/>
      <c r="N10" s="162"/>
      <c r="O10" s="162"/>
    </row>
    <row r="11" spans="1:15" s="133" customFormat="1" ht="13.5" thickTop="1" x14ac:dyDescent="0.2">
      <c r="A11" s="160"/>
      <c r="B11" s="160"/>
      <c r="C11" s="160"/>
      <c r="D11" s="160"/>
      <c r="E11" s="160"/>
      <c r="F11" s="160"/>
      <c r="G11" s="160"/>
      <c r="H11" s="160"/>
      <c r="I11" s="161"/>
      <c r="J11" s="160"/>
      <c r="K11" s="160"/>
      <c r="L11" s="160"/>
      <c r="M11" s="160"/>
      <c r="N11" s="162"/>
      <c r="O11" s="162"/>
    </row>
    <row r="12" spans="1:15" x14ac:dyDescent="0.2">
      <c r="A12" s="124" t="s">
        <v>3534</v>
      </c>
      <c r="B12" s="44" t="str">
        <f>IF(LEN(VLOOKUP(A12,'Species List'!$A:$G,2,FALSE))=0,"",VLOOKUP(A12,'Species List'!$A:$G,2,FALSE))</f>
        <v>big-toothed aspen</v>
      </c>
      <c r="C12" s="44">
        <f>IF(LEN(VLOOKUP(A12,'Species List'!$A:$G,3,FALSE))=0,"",VLOOKUP(A12,'Species List'!$A:$G,3,FALSE))</f>
        <v>4</v>
      </c>
      <c r="D12" s="99">
        <f t="shared" ref="D12:D13" si="0">VALUE(C12)</f>
        <v>4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91">
        <v>4</v>
      </c>
      <c r="K12" s="47" t="str">
        <f>VLOOKUP(J12,'Species List'!$H$1:$J$9,2,FALSE)</f>
        <v>&gt;50-75%</v>
      </c>
      <c r="L12" s="47">
        <f>VLOOKUP(K12,'Species List'!$I$1:$N$8,2,FALSE)</f>
        <v>62.5</v>
      </c>
      <c r="M12" s="100">
        <f t="shared" ref="M12:M13" si="1">VALUE(L12)</f>
        <v>62.5</v>
      </c>
      <c r="N12" s="109">
        <f t="shared" ref="N12:N77" si="2">L12/$L$153</f>
        <v>0.27056277056277056</v>
      </c>
      <c r="O12" s="109">
        <f t="shared" ref="O12:O13" si="3">D12*N12</f>
        <v>1.0822510822510822</v>
      </c>
    </row>
    <row r="13" spans="1:15" x14ac:dyDescent="0.2">
      <c r="A13" s="124" t="s">
        <v>655</v>
      </c>
      <c r="B13" s="44" t="str">
        <f>IF(LEN(VLOOKUP(A13,'Species List'!$A:$G,2,FALSE))=0,"",VLOOKUP(A13,'Species List'!$A:$G,2,FALSE))</f>
        <v>paper birch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[FACU+]</v>
      </c>
      <c r="H13" s="44">
        <f>VLOOKUP(A13,'Species List'!$A:$G,7,FALSE)</f>
        <v>0</v>
      </c>
      <c r="J13" s="9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9">
        <f t="shared" si="2"/>
        <v>6.4935064935064929E-2</v>
      </c>
      <c r="O13" s="109">
        <f t="shared" si="3"/>
        <v>0.19480519480519479</v>
      </c>
    </row>
    <row r="14" spans="1:15" x14ac:dyDescent="0.2">
      <c r="A14" s="122" t="s">
        <v>3143</v>
      </c>
      <c r="B14" s="44" t="str">
        <f>IF(LEN(VLOOKUP(A14,'Species List'!$A:$G,2,FALSE))=0,"",VLOOKUP(A14,'Species List'!$A:$G,2,FALSE))</f>
        <v>ironwood</v>
      </c>
      <c r="C14" s="44">
        <f>IF(LEN(VLOOKUP(A14,'Species List'!$A:$G,3,FALSE))=0,"",VLOOKUP(A14,'Species List'!$A:$G,3,FALSE))</f>
        <v>4</v>
      </c>
      <c r="D14" s="99">
        <f>VALUE(C14)</f>
        <v>4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[FACU-]</v>
      </c>
      <c r="H14" s="44">
        <f>VLOOKUP(A14,'Species List'!$A:$G,7,FALSE)</f>
        <v>0</v>
      </c>
      <c r="J14" s="91">
        <v>4</v>
      </c>
      <c r="K14" s="47" t="str">
        <f>VLOOKUP(J14,'Species List'!$H$1:$J$9,2,FALSE)</f>
        <v>&gt;50-75%</v>
      </c>
      <c r="L14" s="47">
        <f>VLOOKUP(K14,'Species List'!$I$1:$N$8,2,FALSE)</f>
        <v>62.5</v>
      </c>
      <c r="M14" s="100">
        <f>VALUE(L14)</f>
        <v>62.5</v>
      </c>
      <c r="N14" s="85">
        <f t="shared" si="2"/>
        <v>0.27056277056277056</v>
      </c>
      <c r="O14" s="85">
        <f>D14*N14</f>
        <v>1.0822510822510822</v>
      </c>
    </row>
    <row r="15" spans="1:15" x14ac:dyDescent="0.2">
      <c r="A15" s="124" t="s">
        <v>162</v>
      </c>
      <c r="B15" s="44" t="str">
        <f>IF(LEN(VLOOKUP(A15,'Species List'!$A:$G,2,FALSE))=0,"",VLOOKUP(A15,'Species List'!$A:$G,2,FALSE))</f>
        <v>box elder</v>
      </c>
      <c r="C15" s="44">
        <f>IF(LEN(VLOOKUP(A15,'Species List'!$A:$G,3,FALSE))=0,"",VLOOKUP(A15,'Species List'!$A:$G,3,FALSE))</f>
        <v>1</v>
      </c>
      <c r="D15" s="99">
        <f t="shared" ref="D15:D78" si="4">VALUE(C15)</f>
        <v>1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FACW-</v>
      </c>
      <c r="H15" s="44">
        <f>VLOOKUP(A15,'Species List'!$A:$G,7,FALSE)</f>
        <v>0</v>
      </c>
      <c r="J15" s="91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85">
        <f t="shared" si="2"/>
        <v>6.4935064935064929E-2</v>
      </c>
      <c r="O15" s="98">
        <f t="shared" ref="O15:O78" si="6">D15*N15</f>
        <v>6.4935064935064929E-2</v>
      </c>
    </row>
    <row r="16" spans="1:15" x14ac:dyDescent="0.2">
      <c r="A16" s="124" t="s">
        <v>3696</v>
      </c>
      <c r="B16" s="44" t="str">
        <f>IF(LEN(VLOOKUP(A16,'Species List'!$A:$G,2,FALSE))=0,"",VLOOKUP(A16,'Species List'!$A:$G,2,FALSE))</f>
        <v>northern red oak</v>
      </c>
      <c r="C16" s="44">
        <f>IF(LEN(VLOOKUP(A16,'Species List'!$A:$G,3,FALSE))=0,"",VLOOKUP(A16,'Species List'!$A:$G,3,FALSE))</f>
        <v>5</v>
      </c>
      <c r="D16" s="99">
        <f t="shared" si="4"/>
        <v>5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91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5"/>
        <v>15</v>
      </c>
      <c r="N16" s="85">
        <f t="shared" si="2"/>
        <v>6.4935064935064929E-2</v>
      </c>
      <c r="O16" s="98">
        <f t="shared" si="6"/>
        <v>0.32467532467532467</v>
      </c>
    </row>
    <row r="17" spans="1:15" x14ac:dyDescent="0.2">
      <c r="A17" s="124" t="s">
        <v>3848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3</v>
      </c>
      <c r="D17" s="99">
        <f t="shared" si="4"/>
        <v>3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91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85">
        <f t="shared" si="2"/>
        <v>1.2987012987012988E-2</v>
      </c>
      <c r="O17" s="98">
        <f t="shared" si="6"/>
        <v>3.896103896103896E-2</v>
      </c>
    </row>
    <row r="18" spans="1:15" x14ac:dyDescent="0.2">
      <c r="A18" s="125" t="s">
        <v>3656</v>
      </c>
      <c r="B18" s="44" t="str">
        <f>IF(LEN(VLOOKUP(A18,'Species List'!$A:$G,2,FALSE))=0,"",VLOOKUP(A18,'Species List'!$A:$G,2,FALSE))</f>
        <v>chokecherry</v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[FAC-]</v>
      </c>
      <c r="H18" s="44">
        <f>VLOOKUP(A18,'Species List'!$A:$G,7,FALSE)</f>
        <v>0</v>
      </c>
      <c r="J18" s="91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1.2987012987012988E-2</v>
      </c>
      <c r="O18" s="98">
        <f t="shared" si="6"/>
        <v>3.896103896103896E-2</v>
      </c>
    </row>
    <row r="19" spans="1:15" x14ac:dyDescent="0.2">
      <c r="A19" s="126" t="s">
        <v>3790</v>
      </c>
      <c r="B19" s="44" t="str">
        <f>IF(LEN(VLOOKUP(A19,'Species List'!$A:$G,2,FALSE))=0,"",VLOOKUP(A19,'Species List'!$A:$G,2,FALSE))</f>
        <v>Missouri gooseberry</v>
      </c>
      <c r="C19" s="44">
        <f>IF(LEN(VLOOKUP(A19,'Species List'!$A:$G,3,FALSE))=0,"",VLOOKUP(A19,'Species List'!$A:$G,3,FALSE))</f>
        <v>4</v>
      </c>
      <c r="D19" s="99">
        <f t="shared" si="4"/>
        <v>4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91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100">
        <f t="shared" si="5"/>
        <v>15</v>
      </c>
      <c r="N19" s="85">
        <f t="shared" si="2"/>
        <v>6.4935064935064929E-2</v>
      </c>
      <c r="O19" s="98">
        <f t="shared" si="6"/>
        <v>0.25974025974025972</v>
      </c>
    </row>
    <row r="20" spans="1:15" x14ac:dyDescent="0.2">
      <c r="A20" s="124" t="s">
        <v>4698</v>
      </c>
      <c r="B20" s="44" t="str">
        <f>IF(LEN(VLOOKUP(A20,'Species List'!$A:$G,2,FALSE))=0,"",VLOOKUP(A20,'Species List'!$A:$G,2,FALSE))</f>
        <v>nannyberry</v>
      </c>
      <c r="C20" s="44">
        <f>IF(LEN(VLOOKUP(A20,'Species List'!$A:$G,3,FALSE))=0,"",VLOOKUP(A20,'Species List'!$A:$G,3,FALSE))</f>
        <v>4</v>
      </c>
      <c r="D20" s="99">
        <f t="shared" si="4"/>
        <v>4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FAC+</v>
      </c>
      <c r="H20" s="44">
        <f>VLOOKUP(A20,'Species List'!$A:$G,7,FALSE)</f>
        <v>0</v>
      </c>
      <c r="J20" s="91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1.2987012987012988E-2</v>
      </c>
      <c r="O20" s="98">
        <f t="shared" si="6"/>
        <v>5.1948051948051951E-2</v>
      </c>
    </row>
    <row r="21" spans="1:15" x14ac:dyDescent="0.2">
      <c r="A21" s="124" t="s">
        <v>2144</v>
      </c>
      <c r="B21" s="44" t="str">
        <f>IF(LEN(VLOOKUP(A21,'Species List'!$A:$G,2,FALSE))=0,"",VLOOKUP(A21,'Species List'!$A:$G,2,FALSE))</f>
        <v>green ash</v>
      </c>
      <c r="C21" s="44">
        <f>IF(LEN(VLOOKUP(A21,'Species List'!$A:$G,3,FALSE))=0,"",VLOOKUP(A21,'Species List'!$A:$G,3,FALSE))</f>
        <v>2</v>
      </c>
      <c r="D21" s="99">
        <f t="shared" si="4"/>
        <v>2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</v>
      </c>
      <c r="H21" s="44">
        <f>VLOOKUP(A21,'Species List'!$A:$G,7,FALSE)</f>
        <v>0</v>
      </c>
      <c r="J21" s="91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1.2987012987012988E-2</v>
      </c>
      <c r="O21" s="98">
        <f t="shared" si="6"/>
        <v>2.5974025974025976E-2</v>
      </c>
    </row>
    <row r="22" spans="1:15" x14ac:dyDescent="0.2">
      <c r="A22" s="124" t="s">
        <v>1250</v>
      </c>
      <c r="B22" s="44" t="str">
        <f>IF(LEN(VLOOKUP(A22,'Species List'!$A:$G,2,FALSE))=0,"",VLOOKUP(A22,'Species List'!$A:$G,2,FALSE))</f>
        <v>hackberry</v>
      </c>
      <c r="C22" s="44">
        <f>IF(LEN(VLOOKUP(A22,'Species List'!$A:$G,3,FALSE))=0,"",VLOOKUP(A22,'Species List'!$A:$G,3,FALSE))</f>
        <v>3</v>
      </c>
      <c r="D22" s="99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[FAC-]</v>
      </c>
      <c r="H22" s="44">
        <f>VLOOKUP(A22,'Species List'!$A:$G,7,FALSE)</f>
        <v>0</v>
      </c>
      <c r="J22" s="91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85">
        <f t="shared" si="2"/>
        <v>1.2987012987012988E-2</v>
      </c>
      <c r="O22" s="98">
        <f t="shared" si="6"/>
        <v>3.896103896103896E-2</v>
      </c>
    </row>
    <row r="23" spans="1:15" x14ac:dyDescent="0.2">
      <c r="A23" s="127" t="s">
        <v>4515</v>
      </c>
      <c r="B23" s="44" t="str">
        <f>IF(LEN(VLOOKUP(A23,'Species List'!$A:$G,2,FALSE))=0,"",VLOOKUP(A23,'Species List'!$A:$G,2,FALSE))</f>
        <v>western poison ivy</v>
      </c>
      <c r="C23" s="44">
        <f>IF(LEN(VLOOKUP(A23,'Species List'!$A:$G,3,FALSE))=0,"",VLOOKUP(A23,'Species List'!$A:$G,3,FALSE))</f>
        <v>1</v>
      </c>
      <c r="D23" s="99">
        <f t="shared" si="4"/>
        <v>1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</v>
      </c>
      <c r="H23" s="44">
        <f>VLOOKUP(A23,'Species List'!$A:$G,7,FALSE)</f>
        <v>0</v>
      </c>
      <c r="J23" s="91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85">
        <f t="shared" si="2"/>
        <v>1.2987012987012988E-2</v>
      </c>
      <c r="O23" s="98">
        <f t="shared" si="6"/>
        <v>1.2987012987012988E-2</v>
      </c>
    </row>
    <row r="24" spans="1:15" x14ac:dyDescent="0.2">
      <c r="A24" s="124" t="s">
        <v>4703</v>
      </c>
      <c r="B24" s="44" t="str">
        <f>IF(LEN(VLOOKUP(A24,'Species List'!$A:$G,2,FALSE))=0,"",VLOOKUP(A24,'Species List'!$A:$G,2,FALSE))</f>
        <v>downy arrowwood</v>
      </c>
      <c r="C24" s="44">
        <f>IF(LEN(VLOOKUP(A24,'Species List'!$A:$G,3,FALSE))=0,"",VLOOKUP(A24,'Species List'!$A:$G,3,FALSE))</f>
        <v>7</v>
      </c>
      <c r="D24" s="99">
        <f t="shared" si="4"/>
        <v>7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91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85">
        <f t="shared" si="2"/>
        <v>1.2987012987012988E-2</v>
      </c>
      <c r="O24" s="98">
        <f t="shared" si="6"/>
        <v>9.0909090909090912E-2</v>
      </c>
    </row>
    <row r="25" spans="1:15" x14ac:dyDescent="0.2">
      <c r="A25" s="124" t="s">
        <v>3755</v>
      </c>
      <c r="B25" s="44" t="str">
        <f>IF(LEN(VLOOKUP(A25,'Species List'!$A:$G,2,FALSE))=0,"",VLOOKUP(A25,'Species List'!$A:$G,2,FALSE))</f>
        <v>common buckthorn</v>
      </c>
      <c r="C25" s="44">
        <f>IF(LEN(VLOOKUP(A25,'Species List'!$A:$G,3,FALSE))=0,"",VLOOKUP(A25,'Species List'!$A:$G,3,FALSE))</f>
        <v>0</v>
      </c>
      <c r="D25" s="99">
        <f t="shared" si="4"/>
        <v>0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91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85">
        <f t="shared" si="2"/>
        <v>1.2987012987012988E-2</v>
      </c>
      <c r="O25" s="98">
        <f t="shared" si="6"/>
        <v>0</v>
      </c>
    </row>
    <row r="26" spans="1:15" x14ac:dyDescent="0.2">
      <c r="A26" s="124" t="s">
        <v>3536</v>
      </c>
      <c r="B26" s="44" t="str">
        <f>IF(LEN(VLOOKUP(A26,'Species List'!$A:$G,2,FALSE))=0,"",VLOOKUP(A26,'Species List'!$A:$G,2,FALSE))</f>
        <v>quaking aspen</v>
      </c>
      <c r="C26" s="44">
        <f>IF(LEN(VLOOKUP(A26,'Species List'!$A:$G,3,FALSE))=0,"",VLOOKUP(A26,'Species List'!$A:$G,3,FALSE))</f>
        <v>2</v>
      </c>
      <c r="D26" s="99">
        <f t="shared" si="4"/>
        <v>2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[FAC]</v>
      </c>
      <c r="H26" s="44">
        <f>VLOOKUP(A26,'Species List'!$A:$G,7,FALSE)</f>
        <v>0</v>
      </c>
      <c r="J26" s="91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85">
        <f t="shared" si="2"/>
        <v>1.2987012987012988E-2</v>
      </c>
      <c r="O26" s="98">
        <f t="shared" si="6"/>
        <v>2.5974025974025976E-2</v>
      </c>
    </row>
    <row r="27" spans="1:15" x14ac:dyDescent="0.2">
      <c r="A27" s="124" t="s">
        <v>5444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0</v>
      </c>
      <c r="D27" s="99">
        <f t="shared" si="4"/>
        <v>0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91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85">
        <f t="shared" si="2"/>
        <v>1.2987012987012988E-2</v>
      </c>
      <c r="O27" s="98">
        <f t="shared" si="6"/>
        <v>0</v>
      </c>
    </row>
    <row r="28" spans="1:15" x14ac:dyDescent="0.2">
      <c r="A28" s="124" t="s">
        <v>3654</v>
      </c>
      <c r="B28" s="44" t="str">
        <f>IF(LEN(VLOOKUP(A28,'Species List'!$A:$G,2,FALSE))=0,"",VLOOKUP(A28,'Species List'!$A:$G,2,FALSE))</f>
        <v>black cherry</v>
      </c>
      <c r="C28" s="44">
        <f>IF(LEN(VLOOKUP(A28,'Species List'!$A:$G,3,FALSE))=0,"",VLOOKUP(A28,'Species List'!$A:$G,3,FALSE))</f>
        <v>4</v>
      </c>
      <c r="D28" s="99">
        <f t="shared" si="4"/>
        <v>4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[FACU]</v>
      </c>
      <c r="H28" s="44">
        <f>VLOOKUP(A28,'Species List'!$A:$G,7,FALSE)</f>
        <v>0</v>
      </c>
      <c r="J28" s="91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85">
        <f t="shared" si="2"/>
        <v>1.2987012987012988E-2</v>
      </c>
      <c r="O28" s="98">
        <f t="shared" si="6"/>
        <v>5.1948051948051951E-2</v>
      </c>
    </row>
    <row r="29" spans="1:15" x14ac:dyDescent="0.2">
      <c r="A29" s="124"/>
      <c r="B29" s="44"/>
      <c r="C29" s="44"/>
      <c r="D29" s="99"/>
      <c r="E29" s="44"/>
      <c r="F29" s="44"/>
      <c r="G29" s="44"/>
      <c r="H29" s="44"/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124" t="s">
        <v>3775</v>
      </c>
      <c r="B30" s="44" t="str">
        <f>IF(LEN(VLOOKUP(A30,'Species List'!$A:$G,2,FALSE))=0,"",VLOOKUP(A30,'Species List'!$A:$G,2,FALSE))</f>
        <v>wild black currant</v>
      </c>
      <c r="C30" s="44">
        <f>IF(LEN(VLOOKUP(A30,'Species List'!$A:$G,3,FALSE))=0,"",VLOOKUP(A30,'Species List'!$A:$G,3,FALSE))</f>
        <v>4</v>
      </c>
      <c r="D30" s="99">
        <f t="shared" si="4"/>
        <v>4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</v>
      </c>
      <c r="H30" s="44">
        <f>VLOOKUP(A30,'Species List'!$A:$G,7,FALSE)</f>
        <v>0</v>
      </c>
      <c r="J30" s="91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85">
        <f t="shared" si="2"/>
        <v>1.2987012987012988E-2</v>
      </c>
      <c r="O30" s="98">
        <f t="shared" si="6"/>
        <v>5.1948051948051951E-2</v>
      </c>
    </row>
    <row r="31" spans="1:15" x14ac:dyDescent="0.2">
      <c r="A31" s="124" t="s">
        <v>3855</v>
      </c>
      <c r="B31" s="44" t="str">
        <f>IF(LEN(VLOOKUP(A31,'Species List'!$A:$G,2,FALSE))=0,"",VLOOKUP(A31,'Species List'!$A:$G,2,FALSE))</f>
        <v>black raspberry</v>
      </c>
      <c r="C31" s="44">
        <f>IF(LEN(VLOOKUP(A31,'Species List'!$A:$G,3,FALSE))=0,"",VLOOKUP(A31,'Species List'!$A:$G,3,FALSE))</f>
        <v>2</v>
      </c>
      <c r="D31" s="99">
        <f t="shared" si="4"/>
        <v>2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91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85">
        <f t="shared" si="2"/>
        <v>1.2987012987012988E-2</v>
      </c>
      <c r="O31" s="98">
        <f t="shared" si="6"/>
        <v>2.5974025974025976E-2</v>
      </c>
    </row>
    <row r="32" spans="1:15" x14ac:dyDescent="0.2">
      <c r="A32" s="124" t="s">
        <v>2138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0</v>
      </c>
      <c r="D32" s="99">
        <f t="shared" si="4"/>
        <v>0</v>
      </c>
      <c r="E32" s="44" t="str">
        <f>IF(LEN(VLOOKUP(A32,'Species List'!$A:$G,4,FALSE))=0,"",VLOOKUP(A32,'Species List'!$A:$G,4,FALSE))</f>
        <v>D</v>
      </c>
      <c r="F32" s="44" t="str">
        <f>IF(LEN(VLOOKUP(A32,'Species List'!$A:$G,5,FALSE))=0,"",VLOOKUP(A32,'Species List'!$A:$G,5,FALSE))</f>
        <v>Introduced</v>
      </c>
      <c r="G32" s="44" t="str">
        <f>IF(LEN(VLOOKUP(A32,'Species List'!$A:$G,6,FALSE))=0,"",VLOOKUP(A32,'Species List'!$A:$G,6,FALSE))</f>
        <v>[FAC+]</v>
      </c>
      <c r="H32" s="44">
        <f>VLOOKUP(A32,'Species List'!$A:$G,7,FALSE)</f>
        <v>0</v>
      </c>
      <c r="J32" s="91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85">
        <f t="shared" si="2"/>
        <v>1.2987012987012988E-2</v>
      </c>
      <c r="O32" s="98">
        <f t="shared" si="6"/>
        <v>0</v>
      </c>
    </row>
    <row r="33" spans="1:15" x14ac:dyDescent="0.2">
      <c r="A33" s="105" t="s">
        <v>4701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0</v>
      </c>
      <c r="D33" s="99">
        <f t="shared" si="4"/>
        <v>0</v>
      </c>
      <c r="E33" s="44" t="str">
        <f>IF(LEN(VLOOKUP(A33,'Species List'!$A:$G,4,FALSE))=0,"",VLOOKUP(A33,'Species List'!$A:$G,4,FALSE))</f>
        <v>D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91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85">
        <f t="shared" si="2"/>
        <v>1.2987012987012988E-2</v>
      </c>
      <c r="O33" s="98">
        <f t="shared" si="6"/>
        <v>0</v>
      </c>
    </row>
    <row r="34" spans="1:15" x14ac:dyDescent="0.2">
      <c r="A34" s="127" t="s">
        <v>4814</v>
      </c>
      <c r="B34" s="44" t="str">
        <f>IF(LEN(VLOOKUP(A34,'Species List'!$A:$G,2,FALSE))=0,"",VLOOKUP(A34,'Species List'!$A:$G,2,FALSE))</f>
        <v>prickly ash</v>
      </c>
      <c r="C34" s="44">
        <f>IF(LEN(VLOOKUP(A34,'Species List'!$A:$G,3,FALSE))=0,"",VLOOKUP(A34,'Species List'!$A:$G,3,FALSE))</f>
        <v>3</v>
      </c>
      <c r="D34" s="99">
        <f t="shared" si="4"/>
        <v>3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91" t="s">
        <v>5409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100">
        <f t="shared" si="5"/>
        <v>0.5</v>
      </c>
      <c r="N34" s="85">
        <f t="shared" si="2"/>
        <v>2.1645021645021645E-3</v>
      </c>
      <c r="O34" s="98">
        <f t="shared" si="6"/>
        <v>6.4935064935064939E-3</v>
      </c>
    </row>
    <row r="35" spans="1:15" x14ac:dyDescent="0.2">
      <c r="A35" s="124" t="s">
        <v>5432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3</v>
      </c>
      <c r="D35" s="99">
        <f t="shared" si="4"/>
        <v>3</v>
      </c>
      <c r="E35" s="44" t="str">
        <f>IF(LEN(VLOOKUP(A35,'Species List'!$A:$G,4,FALSE))=0,"",VLOOKUP(A35,'Species List'!$A:$G,4,FALSE))</f>
        <v>D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/>
      </c>
      <c r="H35" s="44">
        <f>VLOOKUP(A35,'Species List'!$A:$G,7,FALSE)</f>
        <v>0</v>
      </c>
      <c r="J35" s="91" t="s">
        <v>5409</v>
      </c>
      <c r="K35" s="47" t="str">
        <f>VLOOKUP(J35,'Species List'!$H$1:$J$9,2,FALSE)</f>
        <v>&gt;0-1%</v>
      </c>
      <c r="L35" s="47">
        <f>VLOOKUP(K35,'Species List'!$I$1:$N$8,2,FALSE)</f>
        <v>0.5</v>
      </c>
      <c r="M35" s="100">
        <f t="shared" si="5"/>
        <v>0.5</v>
      </c>
      <c r="N35" s="85">
        <f t="shared" si="2"/>
        <v>2.1645021645021645E-3</v>
      </c>
      <c r="O35" s="98">
        <f t="shared" si="6"/>
        <v>6.4935064935064939E-3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56" t="s">
        <v>5376</v>
      </c>
      <c r="J153" s="157"/>
      <c r="K153" s="158"/>
      <c r="L153" s="63">
        <f>SUMIF(L12:L152,"&gt;=0")</f>
        <v>231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4" t="s">
        <v>127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5"/>
      <c r="C7" s="155"/>
      <c r="D7" s="155"/>
      <c r="E7" s="155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33" customFormat="1" ht="14.25" thickTop="1" thickBot="1" x14ac:dyDescent="0.25">
      <c r="A10" s="45" t="s">
        <v>5445</v>
      </c>
      <c r="B10" s="160"/>
      <c r="C10" s="160"/>
      <c r="D10" s="160"/>
      <c r="E10" s="160"/>
      <c r="F10" s="160"/>
      <c r="G10" s="160"/>
      <c r="H10" s="160"/>
      <c r="I10" s="161"/>
      <c r="J10" s="160"/>
      <c r="K10" s="160"/>
      <c r="L10" s="160"/>
      <c r="M10" s="160"/>
      <c r="N10" s="162"/>
      <c r="O10" s="162"/>
    </row>
    <row r="11" spans="1:15" s="133" customFormat="1" ht="13.5" thickTop="1" x14ac:dyDescent="0.2">
      <c r="A11" s="160"/>
      <c r="B11" s="160"/>
      <c r="C11" s="160"/>
      <c r="D11" s="160"/>
      <c r="E11" s="160"/>
      <c r="F11" s="160"/>
      <c r="G11" s="160"/>
      <c r="H11" s="160"/>
      <c r="I11" s="161"/>
      <c r="J11" s="160"/>
      <c r="K11" s="160"/>
      <c r="L11" s="160"/>
      <c r="M11" s="160"/>
      <c r="N11" s="162"/>
      <c r="O11" s="162"/>
    </row>
    <row r="12" spans="1:15" x14ac:dyDescent="0.2">
      <c r="A12" s="128" t="s">
        <v>3726</v>
      </c>
      <c r="B12" s="44" t="str">
        <f>IF(LEN(VLOOKUP(A12,'Species List'!$A:$G,2,FALSE))=0,"",VLOOKUP(A12,'Species List'!$A:$G,2,FALSE))</f>
        <v>hispid buttercup</v>
      </c>
      <c r="C12" s="44">
        <f>IF(LEN(VLOOKUP(A12,'Species List'!$A:$G,3,FALSE))=0,"",VLOOKUP(A12,'Species List'!$A:$G,3,FALSE))</f>
        <v>6</v>
      </c>
      <c r="D12" s="99">
        <f t="shared" ref="D12:D13" si="0">VALUE(C12)</f>
        <v>6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106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9">
        <f t="shared" ref="N12:N13" si="2">L12/$L$153</f>
        <v>3.9735099337748346E-2</v>
      </c>
      <c r="O12" s="109">
        <f t="shared" ref="O12:O13" si="3">D12*N12</f>
        <v>0.23841059602649006</v>
      </c>
    </row>
    <row r="13" spans="1:15" x14ac:dyDescent="0.2">
      <c r="A13" s="124" t="s">
        <v>472</v>
      </c>
      <c r="B13" s="44" t="str">
        <f>IF(LEN(VLOOKUP(A13,'Species List'!$A:$G,2,FALSE))=0,"",VLOOKUP(A13,'Species List'!$A:$G,2,FALSE))</f>
        <v>Jack-in-the-pulpit</v>
      </c>
      <c r="C13" s="44">
        <f>IF(LEN(VLOOKUP(A13,'Species List'!$A:$G,3,FALSE))=0,"",VLOOKUP(A13,'Species List'!$A:$G,3,FALSE))</f>
        <v>4</v>
      </c>
      <c r="D13" s="99">
        <f t="shared" si="0"/>
        <v>4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FACW-</v>
      </c>
      <c r="H13" s="44">
        <f>VLOOKUP(A13,'Species List'!$A:$G,7,FALSE)</f>
        <v>0</v>
      </c>
      <c r="J13" s="106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9">
        <f t="shared" si="2"/>
        <v>3.9735099337748346E-2</v>
      </c>
      <c r="O13" s="109">
        <f t="shared" si="3"/>
        <v>0.15894039735099338</v>
      </c>
    </row>
    <row r="14" spans="1:15" x14ac:dyDescent="0.2">
      <c r="A14" s="124" t="s">
        <v>1365</v>
      </c>
      <c r="B14" s="44" t="str">
        <f>IF(LEN(VLOOKUP(A14,'Species List'!$A:$G,2,FALSE))=0,"",VLOOKUP(A14,'Species List'!$A:$G,2,FALSE))</f>
        <v>common enchanter's nightshade</v>
      </c>
      <c r="C14" s="44">
        <f>IF(LEN(VLOOKUP(A14,'Species List'!$A:$G,3,FALSE))=0,"",VLOOKUP(A14,'Species List'!$A:$G,3,FALSE))</f>
        <v>2</v>
      </c>
      <c r="D14" s="99">
        <f>VALUE(C14)</f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106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3.9735099337748346E-2</v>
      </c>
      <c r="O14" s="85">
        <f>D14*N14</f>
        <v>7.9470198675496692E-2</v>
      </c>
    </row>
    <row r="15" spans="1:15" x14ac:dyDescent="0.2">
      <c r="A15" s="124" t="s">
        <v>596</v>
      </c>
      <c r="B15" s="44" t="str">
        <f>IF(LEN(VLOOKUP(A15,'Species List'!$A:$G,2,FALSE))=0,"",VLOOKUP(A15,'Species List'!$A:$G,2,FALSE))</f>
        <v>lady fern</v>
      </c>
      <c r="C15" s="44">
        <f>IF(LEN(VLOOKUP(A15,'Species List'!$A:$G,3,FALSE))=0,"",VLOOKUP(A15,'Species List'!$A:$G,3,FALSE))</f>
        <v>5</v>
      </c>
      <c r="D15" s="99">
        <f t="shared" ref="D15:D78" si="4">VALUE(C15)</f>
        <v>5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06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98">
        <f t="shared" ref="N15:N78" si="6">L15/$L$153</f>
        <v>0.19867549668874171</v>
      </c>
      <c r="O15" s="98">
        <f t="shared" ref="O15:O78" si="7">D15*N15</f>
        <v>0.99337748344370858</v>
      </c>
    </row>
    <row r="16" spans="1:15" x14ac:dyDescent="0.2">
      <c r="A16" s="124" t="s">
        <v>1658</v>
      </c>
      <c r="B16" s="44" t="str">
        <f>IF(LEN(VLOOKUP(A16,'Species List'!$A:$G,2,FALSE))=0,"",VLOOKUP(A16,'Species List'!$A:$G,2,FALSE))</f>
        <v>pointed-leaved tick trefoil</v>
      </c>
      <c r="C16" s="44">
        <f>IF(LEN(VLOOKUP(A16,'Species List'!$A:$G,3,FALSE))=0,"",VLOOKUP(A16,'Species List'!$A:$G,3,FALSE))</f>
        <v>6</v>
      </c>
      <c r="D16" s="99">
        <f t="shared" si="4"/>
        <v>6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06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3.9735099337748346E-2</v>
      </c>
      <c r="O16" s="98">
        <f t="shared" si="7"/>
        <v>0.23841059602649006</v>
      </c>
    </row>
    <row r="17" spans="1:15" x14ac:dyDescent="0.2">
      <c r="A17" s="124" t="s">
        <v>3707</v>
      </c>
      <c r="B17" s="44" t="str">
        <f>IF(LEN(VLOOKUP(A17,'Species List'!$A:$G,2,FALSE))=0,"",VLOOKUP(A17,'Species List'!$A:$G,2,FALSE))</f>
        <v>kidney-leaved buttercup</v>
      </c>
      <c r="C17" s="44">
        <f>IF(LEN(VLOOKUP(A17,'Species List'!$A:$G,3,FALSE))=0,"",VLOOKUP(A17,'Species List'!$A:$G,3,FALSE))</f>
        <v>1</v>
      </c>
      <c r="D17" s="99">
        <f t="shared" si="4"/>
        <v>1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FACW-</v>
      </c>
      <c r="H17" s="44">
        <f>VLOOKUP(A17,'Species List'!$A:$G,7,FALSE)</f>
        <v>0</v>
      </c>
      <c r="J17" s="106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3.9735099337748346E-2</v>
      </c>
      <c r="O17" s="98">
        <f t="shared" si="7"/>
        <v>3.9735099337748346E-2</v>
      </c>
    </row>
    <row r="18" spans="1:15" x14ac:dyDescent="0.2">
      <c r="A18" s="124" t="s">
        <v>2240</v>
      </c>
      <c r="B18" s="44" t="str">
        <f>IF(LEN(VLOOKUP(A18,'Species List'!$A:$G,2,FALSE))=0,"",VLOOKUP(A18,'Species List'!$A:$G,2,FALSE))</f>
        <v>white avens</v>
      </c>
      <c r="C18" s="44">
        <f>IF(LEN(VLOOKUP(A18,'Species List'!$A:$G,3,FALSE))=0,"",VLOOKUP(A18,'Species List'!$A:$G,3,FALSE))</f>
        <v>2</v>
      </c>
      <c r="D18" s="99">
        <f t="shared" si="4"/>
        <v>2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</v>
      </c>
      <c r="H18" s="44">
        <f>VLOOKUP(A18,'Species List'!$A:$G,7,FALSE)</f>
        <v>0</v>
      </c>
      <c r="J18" s="106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3.9735099337748346E-2</v>
      </c>
      <c r="O18" s="98">
        <f t="shared" si="7"/>
        <v>7.9470198675496692E-2</v>
      </c>
    </row>
    <row r="19" spans="1:15" x14ac:dyDescent="0.2">
      <c r="A19" s="124" t="s">
        <v>5446</v>
      </c>
      <c r="B19" s="44" t="e">
        <f>IF(LEN(VLOOKUP(A19,'Species List'!$A:$G,2,FALSE))=0,"",VLOOKUP(A19,'Species List'!$A:$G,2,FALSE))</f>
        <v>#N/A</v>
      </c>
      <c r="C19" s="44">
        <v>4</v>
      </c>
      <c r="D19" s="99">
        <f t="shared" si="4"/>
        <v>4</v>
      </c>
      <c r="E19" s="44" t="s">
        <v>149</v>
      </c>
      <c r="F19" s="44" t="s">
        <v>147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3.9735099337748346E-2</v>
      </c>
      <c r="O19" s="98">
        <f t="shared" si="7"/>
        <v>0.15894039735099338</v>
      </c>
    </row>
    <row r="20" spans="1:15" x14ac:dyDescent="0.2">
      <c r="A20" s="124" t="s">
        <v>359</v>
      </c>
      <c r="B20" s="44" t="str">
        <f>IF(LEN(VLOOKUP(A20,'Species List'!$A:$G,2,FALSE))=0,"",VLOOKUP(A20,'Species List'!$A:$G,2,FALSE))</f>
        <v>hog peanut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107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3.9735099337748346E-2</v>
      </c>
      <c r="O20" s="98">
        <f t="shared" si="7"/>
        <v>7.9470198675496692E-2</v>
      </c>
    </row>
    <row r="21" spans="1:15" x14ac:dyDescent="0.2">
      <c r="A21" s="124" t="s">
        <v>4217</v>
      </c>
      <c r="B21" s="44" t="str">
        <f>IF(LEN(VLOOKUP(A21,'Species List'!$A:$G,2,FALSE))=0,"",VLOOKUP(A21,'Species List'!$A:$G,2,FALSE))</f>
        <v>zigzag goldenrod</v>
      </c>
      <c r="C21" s="44">
        <f>IF(LEN(VLOOKUP(A21,'Species List'!$A:$G,3,FALSE))=0,"",VLOOKUP(A21,'Species List'!$A:$G,3,FALSE))</f>
        <v>5</v>
      </c>
      <c r="D21" s="99">
        <f t="shared" si="4"/>
        <v>5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06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3.9735099337748346E-2</v>
      </c>
      <c r="O21" s="98">
        <f t="shared" si="7"/>
        <v>0.19867549668874174</v>
      </c>
    </row>
    <row r="22" spans="1:15" x14ac:dyDescent="0.2">
      <c r="A22" s="124" t="s">
        <v>4422</v>
      </c>
      <c r="B22" s="44" t="str">
        <f>IF(LEN(VLOOKUP(A22,'Species List'!$A:$G,2,FALSE))=0,"",VLOOKUP(A22,'Species List'!$A:$G,2,FALSE))</f>
        <v>side-flowering aster</v>
      </c>
      <c r="C22" s="44">
        <f>IF(LEN(VLOOKUP(A22,'Species List'!$A:$G,3,FALSE))=0,"",VLOOKUP(A22,'Species List'!$A:$G,3,FALSE))</f>
        <v>4</v>
      </c>
      <c r="D22" s="99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[FACW-]</v>
      </c>
      <c r="H22" s="44">
        <f>VLOOKUP(A22,'Species List'!$A:$G,7,FALSE)</f>
        <v>0</v>
      </c>
      <c r="J22" s="106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3.9735099337748346E-2</v>
      </c>
      <c r="O22" s="98">
        <f t="shared" si="7"/>
        <v>0.15894039735099338</v>
      </c>
    </row>
    <row r="23" spans="1:15" x14ac:dyDescent="0.2">
      <c r="A23" s="124" t="s">
        <v>3130</v>
      </c>
      <c r="B23" s="44" t="str">
        <f>IF(LEN(VLOOKUP(A23,'Species List'!$A:$G,2,FALSE))=0,"",VLOOKUP(A23,'Species List'!$A:$G,2,FALSE))</f>
        <v>Clayton's sweet cicely</v>
      </c>
      <c r="C23" s="44">
        <f>IF(LEN(VLOOKUP(A23,'Species List'!$A:$G,3,FALSE))=0,"",VLOOKUP(A23,'Species List'!$A:$G,3,FALSE))</f>
        <v>3</v>
      </c>
      <c r="D23" s="99">
        <f t="shared" si="4"/>
        <v>3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FACU-</v>
      </c>
      <c r="H23" s="44">
        <f>VLOOKUP(A23,'Species List'!$A:$G,7,FALSE)</f>
        <v>0</v>
      </c>
      <c r="J23" s="106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3.9735099337748346E-2</v>
      </c>
      <c r="O23" s="98">
        <f t="shared" si="7"/>
        <v>0.11920529801324503</v>
      </c>
    </row>
    <row r="24" spans="1:15" x14ac:dyDescent="0.2">
      <c r="A24" s="126" t="s">
        <v>3134</v>
      </c>
      <c r="B24" s="44" t="str">
        <f>IF(LEN(VLOOKUP(A24,'Species List'!$A:$G,2,FALSE))=0,"",VLOOKUP(A24,'Species List'!$A:$G,2,FALSE))</f>
        <v>aniseroot</v>
      </c>
      <c r="C24" s="44">
        <f>IF(LEN(VLOOKUP(A24,'Species List'!$A:$G,3,FALSE))=0,"",VLOOKUP(A24,'Species List'!$A:$G,3,FALSE))</f>
        <v>4</v>
      </c>
      <c r="D24" s="99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FACU-</v>
      </c>
      <c r="H24" s="44">
        <f>VLOOKUP(A24,'Species List'!$A:$G,7,FALSE)</f>
        <v>0</v>
      </c>
      <c r="J24" s="106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3.9735099337748346E-2</v>
      </c>
      <c r="O24" s="98">
        <f t="shared" si="7"/>
        <v>0.15894039735099338</v>
      </c>
    </row>
    <row r="25" spans="1:15" x14ac:dyDescent="0.2">
      <c r="A25" s="129" t="s">
        <v>395</v>
      </c>
      <c r="B25" s="44" t="str">
        <f>IF(LEN(VLOOKUP(A25,'Species List'!$A:$G,2,FALSE))=0,"",VLOOKUP(A25,'Species List'!$A:$G,2,FALSE))</f>
        <v>wood anemone</v>
      </c>
      <c r="C25" s="44">
        <f>IF(LEN(VLOOKUP(A25,'Species List'!$A:$G,3,FALSE))=0,"",VLOOKUP(A25,'Species List'!$A:$G,3,FALSE))</f>
        <v>5</v>
      </c>
      <c r="D25" s="99">
        <f t="shared" si="4"/>
        <v>5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[FAC*]</v>
      </c>
      <c r="H25" s="44">
        <f>VLOOKUP(A25,'Species List'!$A:$G,7,FALSE)</f>
        <v>0</v>
      </c>
      <c r="J25" s="131">
        <v>1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3.9735099337748346E-2</v>
      </c>
      <c r="O25" s="98">
        <f t="shared" si="7"/>
        <v>0.19867549668874174</v>
      </c>
    </row>
    <row r="26" spans="1:15" x14ac:dyDescent="0.2">
      <c r="A26" s="124" t="s">
        <v>5447</v>
      </c>
      <c r="B26" s="44" t="e">
        <f>IF(LEN(VLOOKUP(A26,'Species List'!$A:$G,2,FALSE))=0,"",VLOOKUP(A26,'Species List'!$A:$G,2,FALSE))</f>
        <v>#N/A</v>
      </c>
      <c r="C26" s="44">
        <v>5</v>
      </c>
      <c r="D26" s="99">
        <f t="shared" si="4"/>
        <v>5</v>
      </c>
      <c r="E26" s="44" t="s">
        <v>149</v>
      </c>
      <c r="F26" s="44" t="s">
        <v>147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106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3.9735099337748346E-2</v>
      </c>
      <c r="O26" s="98">
        <f t="shared" si="7"/>
        <v>0.19867549668874174</v>
      </c>
    </row>
    <row r="27" spans="1:15" x14ac:dyDescent="0.2">
      <c r="A27" s="130" t="s">
        <v>2301</v>
      </c>
      <c r="B27" s="44" t="str">
        <f>IF(LEN(VLOOKUP(A27,'Species List'!$A:$G,2,FALSE))=0,"",VLOOKUP(A27,'Species List'!$A:$G,2,FALSE))</f>
        <v>Virginia stickseed</v>
      </c>
      <c r="C27" s="44">
        <f>IF(LEN(VLOOKUP(A27,'Species List'!$A:$G,3,FALSE))=0,"",VLOOKUP(A27,'Species List'!$A:$G,3,FALSE))</f>
        <v>1</v>
      </c>
      <c r="D27" s="99">
        <f t="shared" si="4"/>
        <v>1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FAC-</v>
      </c>
      <c r="H27" s="44">
        <f>VLOOKUP(A27,'Species List'!$A:$G,7,FALSE)</f>
        <v>0</v>
      </c>
      <c r="J27" s="106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3.9735099337748346E-2</v>
      </c>
      <c r="O27" s="98">
        <f t="shared" si="7"/>
        <v>3.9735099337748346E-2</v>
      </c>
    </row>
    <row r="28" spans="1:15" x14ac:dyDescent="0.2">
      <c r="A28" s="124" t="s">
        <v>2186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4</v>
      </c>
      <c r="D28" s="99">
        <f t="shared" si="4"/>
        <v>4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FACU+</v>
      </c>
      <c r="H28" s="44">
        <f>VLOOKUP(A28,'Species List'!$A:$G,7,FALSE)</f>
        <v>0</v>
      </c>
      <c r="J28" s="106">
        <v>1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3.9735099337748346E-2</v>
      </c>
      <c r="O28" s="98">
        <f t="shared" si="7"/>
        <v>0.15894039735099338</v>
      </c>
    </row>
    <row r="29" spans="1:15" x14ac:dyDescent="0.2">
      <c r="A29" s="124" t="s">
        <v>3735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5</v>
      </c>
      <c r="D29" s="99">
        <f t="shared" si="4"/>
        <v>5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FACW</v>
      </c>
      <c r="H29" s="44">
        <f>VLOOKUP(A29,'Species List'!$A:$G,7,FALSE)</f>
        <v>0</v>
      </c>
      <c r="J29" s="106" t="s">
        <v>5409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100">
        <f t="shared" si="5"/>
        <v>0.5</v>
      </c>
      <c r="N29" s="98">
        <f t="shared" si="6"/>
        <v>6.6225165562913907E-3</v>
      </c>
      <c r="O29" s="98">
        <f t="shared" si="7"/>
        <v>3.3112582781456956E-2</v>
      </c>
    </row>
    <row r="30" spans="1:15" x14ac:dyDescent="0.2">
      <c r="A30" s="124" t="s">
        <v>4507</v>
      </c>
      <c r="B30" s="44" t="str">
        <f>IF(LEN(VLOOKUP(A30,'Species List'!$A:$G,2,FALSE))=0,"",VLOOKUP(A30,'Species List'!$A:$G,2,FALSE))</f>
        <v>Japanese Hedge Parsley</v>
      </c>
      <c r="C30" s="44">
        <f>IF(LEN(VLOOKUP(A30,'Species List'!$A:$G,3,FALSE))=0,"",VLOOKUP(A30,'Species List'!$A:$G,3,FALSE))</f>
        <v>0</v>
      </c>
      <c r="D30" s="99">
        <f t="shared" si="4"/>
        <v>0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Introduced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06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3.9735099337748346E-2</v>
      </c>
      <c r="O30" s="98">
        <f t="shared" si="7"/>
        <v>0</v>
      </c>
    </row>
    <row r="31" spans="1:15" x14ac:dyDescent="0.2">
      <c r="A31" s="124" t="s">
        <v>2845</v>
      </c>
      <c r="B31" s="44" t="str">
        <f>IF(LEN(VLOOKUP(A31,'Species List'!$A:$G,2,FALSE))=0,"",VLOOKUP(A31,'Species List'!$A:$G,2,FALSE))</f>
        <v>Canada mayflower</v>
      </c>
      <c r="C31" s="44">
        <f>IF(LEN(VLOOKUP(A31,'Species List'!$A:$G,3,FALSE))=0,"",VLOOKUP(A31,'Species List'!$A:$G,3,FALSE))</f>
        <v>5</v>
      </c>
      <c r="D31" s="99">
        <f t="shared" si="4"/>
        <v>5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</v>
      </c>
      <c r="H31" s="44">
        <f>VLOOKUP(A31,'Species List'!$A:$G,7,FALSE)</f>
        <v>0</v>
      </c>
      <c r="J31" s="106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3.9735099337748346E-2</v>
      </c>
      <c r="O31" s="98">
        <f t="shared" si="7"/>
        <v>0.19867549668874174</v>
      </c>
    </row>
    <row r="32" spans="1:15" x14ac:dyDescent="0.2">
      <c r="A32" s="124" t="s">
        <v>1773</v>
      </c>
      <c r="B32" s="44" t="str">
        <f>IF(LEN(VLOOKUP(A32,'Species List'!$A:$G,2,FALSE))=0,"",VLOOKUP(A32,'Species List'!$A:$G,2,FALSE))</f>
        <v>spinulose shield fern</v>
      </c>
      <c r="C32" s="44">
        <f>IF(LEN(VLOOKUP(A32,'Species List'!$A:$G,3,FALSE))=0,"",VLOOKUP(A32,'Species List'!$A:$G,3,FALSE))</f>
        <v>6</v>
      </c>
      <c r="D32" s="99">
        <f t="shared" si="4"/>
        <v>6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[FACW-]</v>
      </c>
      <c r="H32" s="44">
        <f>VLOOKUP(A32,'Species List'!$A:$G,7,FALSE)</f>
        <v>0</v>
      </c>
      <c r="J32" s="106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3.9735099337748346E-2</v>
      </c>
      <c r="O32" s="98">
        <f t="shared" si="7"/>
        <v>0.23841059602649006</v>
      </c>
    </row>
    <row r="33" spans="1:15" x14ac:dyDescent="0.2">
      <c r="A33" s="129" t="s">
        <v>3100</v>
      </c>
      <c r="B33" s="44" t="str">
        <f>IF(LEN(VLOOKUP(A33,'Species List'!$A:$G,2,FALSE))=0,"",VLOOKUP(A33,'Species List'!$A:$G,2,FALSE))</f>
        <v>sensitive fern</v>
      </c>
      <c r="C33" s="44">
        <f>IF(LEN(VLOOKUP(A33,'Species List'!$A:$G,3,FALSE))=0,"",VLOOKUP(A33,'Species List'!$A:$G,3,FALSE))</f>
        <v>4</v>
      </c>
      <c r="D33" s="99">
        <f t="shared" si="4"/>
        <v>4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FACW</v>
      </c>
      <c r="H33" s="44">
        <f>VLOOKUP(A33,'Species List'!$A:$G,7,FALSE)</f>
        <v>0</v>
      </c>
      <c r="J33" s="106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3.9735099337748346E-2</v>
      </c>
      <c r="O33" s="98">
        <f t="shared" si="7"/>
        <v>0.15894039735099338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6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6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56" t="s">
        <v>5376</v>
      </c>
      <c r="J153" s="157"/>
      <c r="K153" s="158"/>
      <c r="L153" s="63">
        <f>SUMIF(L12:L152,"&gt;=0")</f>
        <v>75.5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4" t="s">
        <v>127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5"/>
      <c r="C7" s="155"/>
      <c r="D7" s="155"/>
      <c r="E7" s="155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33" customFormat="1" ht="14.25" thickTop="1" thickBot="1" x14ac:dyDescent="0.25">
      <c r="A10" s="45" t="s">
        <v>5448</v>
      </c>
      <c r="B10" s="160"/>
      <c r="C10" s="160"/>
      <c r="D10" s="160"/>
      <c r="E10" s="160"/>
      <c r="F10" s="160"/>
      <c r="G10" s="160"/>
      <c r="H10" s="160"/>
      <c r="I10" s="161"/>
      <c r="J10" s="160"/>
      <c r="K10" s="160"/>
      <c r="L10" s="160"/>
      <c r="M10" s="160"/>
      <c r="N10" s="162"/>
      <c r="O10" s="162"/>
    </row>
    <row r="11" spans="1:15" s="133" customFormat="1" ht="13.5" thickTop="1" x14ac:dyDescent="0.2">
      <c r="A11" s="160"/>
      <c r="B11" s="160"/>
      <c r="C11" s="160"/>
      <c r="D11" s="160"/>
      <c r="E11" s="160"/>
      <c r="F11" s="160"/>
      <c r="G11" s="160"/>
      <c r="H11" s="160"/>
      <c r="I11" s="161"/>
      <c r="J11" s="160"/>
      <c r="K11" s="160"/>
      <c r="L11" s="160"/>
      <c r="M11" s="160"/>
      <c r="N11" s="162"/>
      <c r="O11" s="162"/>
    </row>
    <row r="12" spans="1:15" x14ac:dyDescent="0.2">
      <c r="A12" s="132" t="s">
        <v>1141</v>
      </c>
      <c r="B12" s="44" t="str">
        <f>IF(LEN(VLOOKUP(A12,'Species List'!$A:$G,2,FALSE))=0,"",VLOOKUP(A12,'Species List'!$A:$G,2,FALSE))</f>
        <v>starry sedge</v>
      </c>
      <c r="C12" s="44">
        <f>IF(LEN(VLOOKUP(A12,'Species List'!$A:$G,3,FALSE))=0,"",VLOOKUP(A12,'Species List'!$A:$G,3,FALSE))</f>
        <v>4</v>
      </c>
      <c r="D12" s="99">
        <f t="shared" ref="D12:D20" si="0">VALUE(C12)</f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06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9">
        <f t="shared" ref="N12:N77" si="2">L12/$L$153</f>
        <v>0.46153846153846156</v>
      </c>
      <c r="O12" s="109">
        <f t="shared" ref="O12:O78" si="3">D12*N12</f>
        <v>1.8461538461538463</v>
      </c>
    </row>
    <row r="13" spans="1:15" x14ac:dyDescent="0.2">
      <c r="A13" s="132" t="s">
        <v>1013</v>
      </c>
      <c r="B13" s="44" t="str">
        <f>IF(LEN(VLOOKUP(A13,'Species List'!$A:$G,2,FALSE))=0,"",VLOOKUP(A13,'Species List'!$A:$G,2,FALSE))</f>
        <v>graceful sedge</v>
      </c>
      <c r="C13" s="44">
        <f>IF(LEN(VLOOKUP(A13,'Species List'!$A:$G,3,FALSE))=0,"",VLOOKUP(A13,'Species List'!$A:$G,3,FALSE))</f>
        <v>4</v>
      </c>
      <c r="D13" s="99">
        <f t="shared" si="0"/>
        <v>4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FACU*</v>
      </c>
      <c r="H13" s="44">
        <f>VLOOKUP(A13,'Species List'!$A:$G,7,FALSE)</f>
        <v>0</v>
      </c>
      <c r="J13" s="106" t="s">
        <v>5409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100">
        <f t="shared" si="1"/>
        <v>0.5</v>
      </c>
      <c r="N13" s="109">
        <f t="shared" si="2"/>
        <v>7.6923076923076927E-2</v>
      </c>
      <c r="O13" s="109">
        <f t="shared" si="3"/>
        <v>0.30769230769230771</v>
      </c>
    </row>
    <row r="14" spans="1:15" x14ac:dyDescent="0.2">
      <c r="A14" s="132" t="s">
        <v>2121</v>
      </c>
      <c r="B14" s="44" t="str">
        <f>IF(LEN(VLOOKUP(A14,'Species List'!$A:$G,2,FALSE))=0,"",VLOOKUP(A14,'Species List'!$A:$G,2,FALSE))</f>
        <v>nodding fescue</v>
      </c>
      <c r="C14" s="44">
        <f>IF(LEN(VLOOKUP(A14,'Species List'!$A:$G,3,FALSE))=0,"",VLOOKUP(A14,'Species List'!$A:$G,3,FALSE))</f>
        <v>6</v>
      </c>
      <c r="D14" s="99">
        <f t="shared" si="0"/>
        <v>6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[FACU+]</v>
      </c>
      <c r="H14" s="44">
        <f>VLOOKUP(A14,'Species List'!$A:$G,7,FALSE)</f>
        <v>0</v>
      </c>
      <c r="J14" s="106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8">
        <f t="shared" si="2"/>
        <v>0.46153846153846156</v>
      </c>
      <c r="O14" s="108">
        <f t="shared" si="3"/>
        <v>2.7692307692307692</v>
      </c>
    </row>
    <row r="15" spans="1:15" x14ac:dyDescent="0.2">
      <c r="A15" s="105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7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si="1"/>
        <v>#N/A</v>
      </c>
      <c r="N15" s="98" t="e">
        <f t="shared" si="2"/>
        <v>#N/A</v>
      </c>
      <c r="O15" s="98" t="e">
        <f t="shared" si="3"/>
        <v>#N/A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7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6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56" t="s">
        <v>5376</v>
      </c>
      <c r="J153" s="157"/>
      <c r="K153" s="158"/>
      <c r="L153" s="63">
        <f>SUMIF(L12:L152,"&gt;=0")</f>
        <v>6.5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9" t="s">
        <v>4837</v>
      </c>
      <c r="B1" s="159"/>
      <c r="C1" s="159"/>
      <c r="D1" s="159"/>
      <c r="E1" s="159"/>
      <c r="F1" s="159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19</v>
      </c>
      <c r="C4" s="102">
        <f>COUNTIF(Forbs!$F$12:$F$150,"Native")</f>
        <v>21</v>
      </c>
      <c r="D4" s="102">
        <f>COUNTIF(Grasses!$F$12:$F$151,"Native")</f>
        <v>3</v>
      </c>
      <c r="E4" s="102">
        <f>AVERAGE(B4:D4)</f>
        <v>14.333333333333334</v>
      </c>
      <c r="F4" s="102">
        <f>SUM(B4:D4)</f>
        <v>43</v>
      </c>
    </row>
    <row r="5" spans="1:6" ht="18" x14ac:dyDescent="0.25">
      <c r="A5" s="53" t="s">
        <v>4842</v>
      </c>
      <c r="B5" s="102">
        <f>COUNTIF(Woody!$F12:$F201,"Introduced")</f>
        <v>4</v>
      </c>
      <c r="C5" s="102">
        <f>COUNTIF(Forbs!$F12:$F201,"Introduced")</f>
        <v>1</v>
      </c>
      <c r="D5" s="102">
        <f>COUNTIF(Grasses!$F12:$F201,"Introduced")</f>
        <v>0</v>
      </c>
      <c r="E5" s="102">
        <f t="shared" ref="E5:E6" si="0">AVERAGE(B5:D5)</f>
        <v>1.6666666666666667</v>
      </c>
      <c r="F5" s="102">
        <f>SUM(B5:D5)</f>
        <v>5</v>
      </c>
    </row>
    <row r="6" spans="1:6" s="81" customFormat="1" ht="21" x14ac:dyDescent="0.35">
      <c r="A6" s="53" t="s">
        <v>5411</v>
      </c>
      <c r="B6" s="102">
        <f>SUM(B4:B5)</f>
        <v>23</v>
      </c>
      <c r="C6" s="102">
        <f>SUM(C4:C5)</f>
        <v>22</v>
      </c>
      <c r="D6" s="102">
        <f>SUM(D4:D5)</f>
        <v>3</v>
      </c>
      <c r="E6" s="102">
        <f t="shared" si="0"/>
        <v>16</v>
      </c>
      <c r="F6" s="102">
        <f>SUM(B6:D6)</f>
        <v>48</v>
      </c>
    </row>
    <row r="7" spans="1:6" ht="18" x14ac:dyDescent="0.25">
      <c r="A7" s="53" t="s">
        <v>4843</v>
      </c>
      <c r="B7" s="102">
        <f>AVERAGEIF(Woody!D12:D152,"&gt;0")</f>
        <v>3.263157894736842</v>
      </c>
      <c r="C7" s="102">
        <f>AVERAGEIF(Forbs!D12:D152,"&gt;0")</f>
        <v>3.9523809523809526</v>
      </c>
      <c r="D7" s="102">
        <f>AVERAGEIF(Grasses!D12:D152,"&gt;0")</f>
        <v>4.666666666666667</v>
      </c>
      <c r="E7" s="102">
        <f>AVERAGE(B7:D7)</f>
        <v>3.9607351712614878</v>
      </c>
      <c r="F7" s="102">
        <f>(SUMIF(Woody!D12:D152,"&gt;0")+SUMIF(Forbs!D12:D152,"&gt;0")+SUMIF(Grasses!D12:D152,"&gt;0"))/(COUNTIF(Woody!D12:D152,"&gt;0")+COUNTIF(Forbs!D12:D152,"&gt;0")+COUNTIF(Grasses!D12:D152,"&gt;0"))</f>
        <v>3.6976744186046511</v>
      </c>
    </row>
    <row r="8" spans="1:6" s="31" customFormat="1" ht="21" x14ac:dyDescent="0.35">
      <c r="A8" s="53" t="s">
        <v>5412</v>
      </c>
      <c r="B8" s="102">
        <f>AVERAGEIF(Woody!D12:D152,"&gt;=0")</f>
        <v>2.6956521739130435</v>
      </c>
      <c r="C8" s="102">
        <f>AVERAGEIF(Forbs!D12:D152,"&gt;=0")</f>
        <v>3.7727272727272729</v>
      </c>
      <c r="D8" s="102">
        <f>AVERAGEIF(Grasses!D12:D152,"&gt;=0")</f>
        <v>4.666666666666667</v>
      </c>
      <c r="E8" s="102">
        <f>AVERAGE(B8:D8)</f>
        <v>3.7116820377689947</v>
      </c>
      <c r="F8" s="102">
        <f>(SUMIF(Woody!D12:D152,"&gt;=0")+SUMIF(Forbs!D12:D152,"&gt;=0")+SUMIF(Grasses!D12:D152,"&gt;=0"))/(COUNTIF(Woody!D12:D152,"&gt;=0")+COUNTIF(Forbs!D12:D152,"&gt;=0")+COUNTIF(Grasses!D12:D152,"&gt;=0"))</f>
        <v>3.3125</v>
      </c>
    </row>
    <row r="9" spans="1:6" ht="18" x14ac:dyDescent="0.25">
      <c r="A9" s="53" t="s">
        <v>4836</v>
      </c>
      <c r="B9" s="102">
        <f>SQRT(B4)*B7</f>
        <v>14.223775499974831</v>
      </c>
      <c r="C9" s="102">
        <f>SQRT(C4)*C7</f>
        <v>18.112084889587369</v>
      </c>
      <c r="D9" s="102">
        <f>SQRT(D4)*D7</f>
        <v>8.0829037686547611</v>
      </c>
      <c r="E9" s="102">
        <f>SQRT(E4)*E7</f>
        <v>14.995101346387692</v>
      </c>
      <c r="F9" s="102">
        <f>SQRT(F4)*F7</f>
        <v>24.247272682884141</v>
      </c>
    </row>
    <row r="10" spans="1:6" s="82" customFormat="1" ht="21" x14ac:dyDescent="0.35">
      <c r="A10" s="53" t="s">
        <v>5413</v>
      </c>
      <c r="B10" s="102">
        <f>SQRT(B6)*B8</f>
        <v>12.927893671538634</v>
      </c>
      <c r="C10" s="102">
        <f>SQRT(C6)*C8</f>
        <v>17.695659457515667</v>
      </c>
      <c r="D10" s="102">
        <f>SQRT(D6)*D8</f>
        <v>8.0829037686547611</v>
      </c>
      <c r="E10" s="102">
        <f>SQRT(E6)*E8</f>
        <v>14.846728151075979</v>
      </c>
      <c r="F10" s="102">
        <f>SQRT(F6)*F8</f>
        <v>22.949673200287624</v>
      </c>
    </row>
    <row r="11" spans="1:6" ht="18" x14ac:dyDescent="0.25">
      <c r="A11" s="53" t="s">
        <v>4844</v>
      </c>
      <c r="B11" s="102">
        <f>SUMIF(Woody!$M$12:$M$152,"&gt;=0")</f>
        <v>231</v>
      </c>
      <c r="C11" s="102">
        <f>SUMIF(Forbs!$M$12:$M$153,"&gt;=0")</f>
        <v>75.5</v>
      </c>
      <c r="D11" s="102">
        <f>SUMIF(Grasses!$M$12:$M$152,"&gt;=0")</f>
        <v>6.5</v>
      </c>
      <c r="E11" s="102">
        <f>AVERAGE(B11:D11)</f>
        <v>104.33333333333333</v>
      </c>
      <c r="F11" s="102">
        <f>SUM(B11:D11)</f>
        <v>313</v>
      </c>
    </row>
    <row r="12" spans="1:6" ht="18" x14ac:dyDescent="0.25">
      <c r="A12" s="53" t="s">
        <v>5377</v>
      </c>
      <c r="B12" s="102">
        <f>SUMIF(Woody!$F$12:$F$152,"Introduced",Woody!$L$12:$L$152)</f>
        <v>12</v>
      </c>
      <c r="C12" s="102">
        <f>SUMIF(Forbs!$F$12:$F$153,"Introduced",Forbs!$L$12:$L$153)</f>
        <v>3</v>
      </c>
      <c r="D12" s="102">
        <f>SUMIF(Grasses!$F$12:$F$152,"Introduced",Grasses!$L$12:$L$152)</f>
        <v>0</v>
      </c>
      <c r="E12" s="102">
        <f>AVERAGE(B12:D12)</f>
        <v>5</v>
      </c>
      <c r="F12" s="102">
        <f>SUM(B12:D12)</f>
        <v>15</v>
      </c>
    </row>
    <row r="13" spans="1:6" ht="18.75" thickBot="1" x14ac:dyDescent="0.3">
      <c r="A13" s="54" t="s">
        <v>4845</v>
      </c>
      <c r="B13" s="103">
        <f>B12/B11</f>
        <v>5.1948051948051951E-2</v>
      </c>
      <c r="C13" s="103">
        <f>C12/C11</f>
        <v>3.9735099337748346E-2</v>
      </c>
      <c r="D13" s="103">
        <f>D12/D11</f>
        <v>0</v>
      </c>
      <c r="E13" s="103">
        <f>E12/E11</f>
        <v>4.7923322683706075E-2</v>
      </c>
      <c r="F13" s="103">
        <f>F12/F11</f>
        <v>4.7923322683706068E-2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3.4761904761904754</v>
      </c>
      <c r="C15" s="101">
        <f>SUMIF(Forbs!$O$12:$O$152,"&gt;=0")</f>
        <v>3.927152317880795</v>
      </c>
      <c r="D15" s="101">
        <f>SUMIF(Grasses!$O$12:$O$152,"&gt;=0")</f>
        <v>4.9230769230769234</v>
      </c>
      <c r="E15" s="101">
        <f>AVERAGE(B15:D15)</f>
        <v>4.1088065723827318</v>
      </c>
      <c r="F15" s="102">
        <f>SUM(B15:D15)</f>
        <v>12.326419717148195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2023-01-27T17:25:52Z</dcterms:modified>
</cp:coreProperties>
</file>