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BABE4DF9-90E9-4891-A857-8CA2DEB219B9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E12" i="10"/>
  <c r="C12" i="10"/>
  <c r="D12" i="10" s="1"/>
  <c r="D13" i="10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<sst xmlns="http://schemas.openxmlformats.org/spreadsheetml/2006/main" count="13185" uniqueCount="5450">
  <si>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</si>
  <si>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</si>
  <si>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</si>
  <si>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</si>
  <si>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</si>
  <si>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</si>
  <si>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</si>
  <si>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</si>
  <si>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</si>
  <si>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</si>
  <si>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</si>
  <si>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</si>
  <si>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</si>
  <si>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</si>
  <si>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</si>
  <si>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</si>
  <si>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</si>
  <si>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</si>
  <si>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</si>
  <si>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</si>
  <si>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</si>
  <si>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</si>
  <si>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</si>
  <si>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</si>
  <si>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</si>
  <si>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</si>
  <si>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</si>
  <si>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</si>
  <si>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</si>
  <si>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</si>
  <si>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</si>
  <si>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</si>
  <si>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</si>
  <si>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</si>
  <si>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</si>
  <si>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</si>
  <si>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</si>
  <si>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</si>
  <si>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</si>
  <si>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</si>
  <si>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</si>
  <si>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</si>
  <si>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</si>
  <si>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</si>
  <si>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</si>
  <si>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</si>
  <si>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</si>
  <si>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</si>
  <si>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</si>
  <si>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</si>
  <si>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</si>
  <si>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</si>
  <si>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</si>
  <si>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</si>
  <si>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</si>
  <si>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</si>
  <si>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</si>
  <si>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</si>
  <si>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</si>
  <si>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</si>
  <si>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</si>
  <si>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</si>
  <si>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</si>
  <si>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</si>
  <si>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</si>
  <si>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</si>
  <si>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</si>
  <si>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</si>
  <si>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</si>
  <si>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</si>
  <si>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</si>
  <si>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</si>
  <si>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</si>
  <si>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</si>
  <si>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</si>
  <si>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</si>
  <si>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</si>
  <si>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</si>
  <si>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</si>
  <si>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</si>
  <si>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</si>
  <si>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</si>
  <si>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</si>
  <si>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</si>
  <si>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</si>
  <si>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</si>
  <si>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</si>
  <si>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</si>
  <si>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</si>
  <si>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</si>
  <si>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</si>
  <si>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</si>
  <si>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</si>
  <si>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</si>
  <si>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</si>
  <si>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</si>
  <si>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</si>
  <si>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</si>
  <si>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</si>
  <si>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</si>
  <si>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</si>
  <si>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</si>
  <si>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</si>
  <si>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</si>
  <si>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</si>
  <si>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</si>
  <si>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</si>
  <si>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</si>
  <si>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</si>
  <si>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</si>
  <si>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</si>
  <si>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</si>
  <si>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</si>
  <si>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</si>
  <si>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</si>
  <si>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</si>
  <si>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</si>
  <si>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</si>
  <si>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</si>
  <si>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</si>
  <si>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</si>
  <si>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</si>
  <si>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</si>
  <si>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</si>
  <si>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</si>
  <si>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</si>
  <si>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</si>
  <si>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</si>
  <si>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</si>
  <si>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</si>
  <si>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</si>
  <si>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</si>
  <si>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</si>
  <si>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</si>
  <si>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</si>
  <si>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</si>
  <si>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</si>
  <si>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</si>
  <si>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</si>
  <si>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</si>
  <si>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</si>
  <si>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</si>
  <si>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</si>
  <si>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</si>
  <si>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</si>
  <si>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</si>
  <si>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</si>
  <si>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</si>
  <si>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</si>
  <si>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</si>
  <si>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</si>
  <si>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</si>
  <si>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</si>
  <si>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</si>
  <si>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</si>
  <si>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</si>
  <si>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</si>
  <si>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</si>
  <si>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</si>
  <si>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</si>
  <si>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</si>
  <si>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</si>
  <si>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</si>
  <si>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</si>
  <si>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</si>
  <si>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</si>
  <si>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</si>
  <si>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</si>
  <si>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</si>
  <si>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</si>
  <si>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</si>
  <si>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</si>
  <si>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</si>
  <si>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</si>
  <si>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</si>
  <si>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</si>
  <si>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</si>
  <si>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</si>
  <si>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</si>
  <si>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</si>
  <si>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</si>
  <si>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</si>
  <si>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</si>
  <si>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</si>
  <si>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</si>
  <si>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</si>
  <si>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</si>
  <si>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</si>
  <si>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</si>
  <si>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</si>
  <si>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</si>
  <si>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</si>
  <si>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</si>
  <si>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</si>
  <si>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</si>
  <si>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</si>
  <si>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</si>
  <si>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</si>
  <si>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</si>
  <si>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</si>
  <si>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</si>
  <si>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</si>
  <si>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</si>
  <si>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</si>
  <si>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</si>
  <si>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</si>
  <si>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</si>
  <si>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</si>
  <si>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</si>
  <si>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</si>
  <si>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</si>
  <si>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</si>
  <si>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</si>
  <si>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</si>
  <si>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</si>
  <si>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</si>
  <si>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</si>
  <si>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</si>
  <si>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</si>
  <si>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</si>
  <si>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</si>
  <si>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</si>
  <si>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</si>
  <si>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</si>
  <si>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</si>
  <si>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</si>
  <si>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</si>
  <si>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</si>
  <si>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</si>
  <si>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</si>
  <si>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</si>
  <si>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</si>
  <si>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</si>
  <si>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</si>
  <si>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</si>
  <si>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</si>
  <si>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</si>
  <si>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</si>
  <si>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</si>
  <si>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</si>
  <si>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</si>
  <si>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</si>
  <si>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</si>
  <si>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</si>
  <si>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</si>
  <si>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</si>
  <si>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</si>
  <si>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</si>
  <si>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</si>
  <si>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</si>
  <si>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</si>
  <si>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</si>
  <si>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</si>
  <si>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</si>
  <si>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</si>
  <si>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</si>
  <si>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</si>
  <si>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</si>
  <si>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</si>
  <si>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</si>
  <si>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</si>
  <si>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</si>
  <si>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</si>
  <si>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</si>
  <si>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</si>
  <si>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</si>
  <si>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</si>
  <si>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</si>
  <si>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</si>
  <si>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</si>
  <si>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</si>
  <si>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</si>
  <si>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</si>
  <si>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</si>
  <si>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</si>
  <si>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</si>
  <si>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</si>
  <si>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</si>
  <si>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</si>
  <si>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</si>
  <si>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</si>
  <si>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</si>
  <si>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</si>
  <si>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</si>
  <si>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</si>
  <si>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</si>
  <si>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</si>
  <si>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</si>
  <si>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</si>
  <si>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</si>
  <si>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</si>
  <si>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</si>
  <si>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</si>
  <si>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</si>
  <si>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</si>
  <si>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</si>
  <si>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</si>
  <si>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</si>
  <si>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</si>
  <si>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</si>
  <si>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</si>
  <si>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</si>
  <si>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</si>
  <si>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</si>
  <si>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</si>
  <si>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</si>
  <si>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</si>
  <si>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</si>
  <si>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</si>
  <si>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</si>
  <si>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</si>
  <si>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</si>
  <si>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</si>
  <si>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</si>
  <si>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</si>
  <si>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</si>
  <si>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</si>
  <si>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</si>
  <si>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</si>
  <si>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</si>
  <si>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</si>
  <si>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</si>
  <si>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</si>
  <si>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</si>
  <si>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</si>
  <si>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</si>
  <si>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</si>
  <si>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</si>
  <si>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</si>
  <si>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</si>
  <si>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</si>
  <si>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</si>
  <si>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</si>
  <si>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</si>
  <si>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</si>
  <si>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</si>
  <si>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</si>
  <si>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</si>
  <si>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</si>
  <si>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</si>
  <si>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</si>
  <si>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</si>
  <si>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</si>
  <si>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</si>
  <si>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</si>
  <si>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</si>
  <si>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</si>
  <si>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</si>
  <si>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</si>
  <si>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</si>
  <si>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</si>
  <si>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</si>
  <si>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</si>
  <si>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</si>
  <si>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</si>
  <si>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</si>
  <si>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</si>
  <si>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</si>
  <si>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</si>
  <si>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</si>
  <si>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</si>
  <si>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</si>
  <si>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</si>
  <si>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</si>
  <si>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</si>
  <si>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</si>
  <si>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</si>
  <si>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</si>
  <si>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</si>
  <si>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</si>
  <si>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</si>
  <si>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</si>
  <si>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</si>
  <si>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</si>
  <si>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</si>
  <si>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</si>
  <si>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</si>
  <si>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</si>
  <si>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</si>
  <si>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</si>
  <si>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</si>
  <si>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</si>
  <si>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</si>
  <si>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</si>
  <si>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</si>
  <si>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</si>
  <si>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</si>
  <si>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</si>
  <si>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</si>
  <si>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</si>
  <si>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</si>
  <si>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</si>
  <si>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</si>
  <si>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</si>
  <si>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</si>
  <si>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</si>
  <si>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</si>
  <si>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</si>
  <si>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</si>
  <si>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</si>
  <si>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</si>
  <si>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</si>
  <si>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</si>
  <si>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</si>
  <si>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</si>
  <si>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</si>
  <si>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</si>
  <si>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</si>
  <si>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</si>
  <si>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</si>
  <si>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</si>
  <si>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</si>
  <si>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</si>
  <si>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</si>
  <si>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</si>
  <si>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</si>
  <si>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</si>
  <si>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</si>
  <si>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</si>
  <si>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</si>
  <si>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</si>
  <si>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</si>
  <si>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</si>
  <si>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</si>
  <si>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</si>
  <si>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</si>
  <si>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</si>
  <si>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</si>
  <si>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</si>
  <si>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</si>
  <si>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</si>
  <si>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</si>
  <si>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</si>
  <si>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</si>
  <si>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</si>
  <si>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</si>
  <si>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</si>
  <si>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</si>
  <si>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</si>
  <si>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</si>
  <si>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</si>
  <si>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</si>
  <si>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</si>
  <si>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</si>
  <si>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</si>
  <si>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</si>
  <si>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</si>
  <si>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</si>
  <si>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</si>
  <si>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</si>
  <si>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</si>
  <si>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</si>
  <si>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</si>
  <si>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</si>
  <si>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</si>
  <si>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</si>
  <si>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</si>
  <si>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</si>
  <si>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</si>
  <si>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</si>
  <si>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</si>
  <si>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</si>
  <si>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</si>
  <si>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</si>
  <si>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</si>
  <si>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</si>
  <si>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</si>
  <si>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</si>
  <si>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</si>
  <si>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</si>
  <si>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</si>
  <si>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</si>
  <si>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</si>
  <si>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</si>
  <si>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</si>
  <si>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</si>
  <si>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</si>
  <si>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</si>
  <si>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</si>
  <si>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</si>
  <si>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</si>
  <si>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</si>
  <si>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</si>
  <si>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</si>
  <si>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</si>
  <si>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</si>
  <si>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</si>
  <si>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</si>
  <si>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</si>
  <si>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</si>
  <si>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</si>
  <si>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</si>
  <si>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</si>
  <si>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</si>
  <si>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</si>
  <si>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</si>
  <si>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</si>
  <si>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</si>
  <si>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</si>
  <si>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</si>
  <si>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</si>
  <si>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</si>
  <si>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</si>
  <si>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</si>
  <si>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</si>
  <si>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</si>
  <si>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</si>
  <si>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</si>
  <si>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</si>
  <si>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</si>
  <si>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</si>
  <si>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</si>
  <si>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</si>
  <si>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</si>
  <si>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</si>
  <si>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</si>
  <si>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</si>
  <si>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</si>
  <si>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</si>
  <si>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</si>
  <si>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</si>
  <si>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</si>
  <si>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</si>
  <si>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</si>
  <si>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</si>
  <si>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</si>
  <si>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</si>
  <si>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</si>
  <si>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</si>
  <si>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</si>
  <si>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</si>
  <si>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</si>
  <si>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</si>
  <si>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</si>
  <si>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</si>
  <si>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</si>
  <si>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</si>
  <si>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</si>
  <si>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</si>
  <si>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</si>
  <si>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</si>
  <si>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</si>
  <si>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</si>
  <si>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</si>
  <si>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</si>
  <si>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</si>
  <si>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</si>
  <si>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</si>
  <si>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</si>
  <si>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</si>
  <si>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</si>
  <si>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</si>
  <si>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</si>
  <si>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</si>
  <si>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</si>
  <si>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</si>
  <si>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</si>
  <si>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</si>
  <si>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</si>
  <si>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</si>
  <si>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</si>
  <si>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</si>
  <si>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</si>
  <si>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</si>
  <si>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</si>
  <si>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</si>
  <si>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</si>
  <si>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</si>
  <si>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</si>
  <si>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</si>
  <si>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</si>
  <si>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</si>
  <si>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</si>
  <si>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</si>
  <si>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</si>
  <si>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</si>
  <si>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</si>
  <si>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</si>
  <si>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</si>
  <si>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</si>
  <si>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</si>
  <si>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</si>
  <si>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</si>
  <si>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</si>
  <si>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</si>
  <si>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</si>
  <si>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</si>
  <si>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</si>
  <si>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</si>
  <si>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</si>
  <si>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</si>
  <si>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</si>
  <si>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</si>
  <si>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</si>
  <si>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</si>
  <si>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</si>
  <si>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</si>
  <si>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</si>
  <si>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</si>
  <si>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</si>
  <si>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</si>
  <si>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</si>
  <si>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</si>
  <si>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</si>
  <si>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</si>
  <si>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</si>
  <si>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</si>
  <si>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</si>
  <si>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</si>
  <si>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</si>
  <si>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</si>
  <si>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</si>
  <si>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</si>
  <si>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</si>
  <si>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</si>
  <si>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</si>
  <si>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</si>
  <si>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</si>
  <si>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</si>
  <si>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</si>
  <si>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</si>
  <si>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</si>
  <si>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</si>
  <si>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</si>
  <si>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</si>
  <si>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</si>
  <si>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</si>
  <si>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</si>
  <si>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</si>
  <si>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</si>
  <si>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</si>
  <si>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</si>
  <si>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</si>
  <si>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</si>
  <si>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</si>
  <si>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</si>
  <si>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</si>
  <si>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</si>
  <si>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</si>
  <si>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</si>
  <si>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</si>
  <si>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</si>
  <si>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</si>
  <si>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</si>
  <si>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</si>
  <si>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</si>
  <si>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</si>
  <si>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</si>
  <si>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</si>
  <si>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</si>
  <si>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</si>
  <si>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</si>
  <si>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</si>
  <si>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</si>
  <si>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</si>
  <si>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</si>
  <si>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</si>
  <si>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</si>
  <si>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</si>
  <si>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</si>
  <si>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</si>
  <si>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</si>
  <si>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</si>
  <si>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</si>
  <si>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</si>
  <si>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</si>
  <si>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</si>
  <si>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</si>
  <si>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</si>
  <si>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</si>
  <si>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</si>
  <si>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</si>
  <si>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</si>
  <si>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</si>
  <si>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</si>
  <si>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</si>
  <si>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</si>
  <si>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</si>
  <si>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</si>
  <si>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</si>
  <si>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</si>
  <si>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</si>
  <si>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</si>
  <si>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</si>
  <si>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</si>
  <si>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</si>
  <si>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</si>
  <si>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</si>
  <si>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</si>
  <si>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</si>
  <si>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</si>
  <si>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</si>
  <si>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</si>
  <si>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</si>
  <si>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</si>
  <si>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</si>
  <si>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</si>
  <si>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</si>
  <si>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</si>
  <si>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</si>
  <si>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</si>
  <si>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</si>
  <si>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</si>
  <si>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</si>
  <si>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</si>
  <si>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</si>
  <si>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</si>
  <si>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</si>
  <si>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</si>
  <si>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</si>
  <si>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</si>
  <si>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</si>
  <si>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</si>
  <si>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</si>
  <si>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</si>
  <si>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</si>
  <si>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</si>
  <si>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</si>
  <si>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</si>
  <si>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</si>
  <si>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</si>
  <si>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</si>
  <si>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</si>
  <si>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</si>
  <si>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</si>
  <si>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</si>
  <si>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</si>
  <si>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</si>
  <si>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</si>
  <si>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</si>
  <si>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</si>
  <si>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</si>
  <si>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</si>
  <si>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</si>
  <si>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</si>
  <si>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</si>
  <si>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</si>
  <si>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</si>
  <si>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</si>
  <si>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</si>
  <si>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</si>
  <si>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</si>
  <si>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</si>
  <si>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</si>
  <si>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</si>
  <si>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</si>
  <si>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</si>
  <si>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</si>
  <si>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</si>
  <si>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</si>
  <si>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</si>
  <si>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</si>
  <si>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</si>
  <si>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</si>
  <si>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</si>
  <si>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</si>
  <si>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</si>
  <si>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</si>
  <si>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</si>
  <si>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</si>
  <si>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</si>
  <si>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</si>
  <si>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</si>
  <si>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</si>
  <si>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</si>
  <si>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</si>
  <si>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</si>
  <si>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</si>
  <si>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</si>
  <si>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</si>
  <si>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</si>
  <si>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</si>
  <si>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</si>
  <si>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</si>
  <si>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</si>
  <si>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</si>
  <si>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</si>
  <si>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</si>
  <si>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</si>
  <si>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</si>
  <si>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</si>
  <si>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</si>
  <si>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</si>
  <si>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</si>
  <si>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</si>
  <si>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</si>
  <si>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</si>
  <si>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</si>
  <si>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</si>
  <si>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</si>
  <si>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</si>
  <si>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</si>
  <si>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</si>
  <si>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</si>
  <si>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</si>
  <si>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</si>
  <si>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</si>
  <si>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</si>
  <si>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</si>
  <si>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</si>
  <si>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</si>
  <si>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</si>
  <si>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</si>
  <si>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</si>
  <si>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</si>
  <si>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</si>
  <si>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</si>
  <si>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</si>
  <si>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</si>
  <si>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</si>
  <si>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</si>
  <si>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</si>
  <si>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</si>
  <si>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</si>
  <si>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</si>
  <si>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</si>
  <si>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</si>
  <si>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</si>
  <si>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</si>
  <si>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</si>
  <si>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</si>
  <si>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</si>
  <si>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</si>
  <si>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</si>
  <si>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</si>
  <si>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</si>
  <si>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</si>
  <si>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</si>
  <si>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</si>
  <si>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</si>
  <si>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</si>
  <si>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</si>
  <si>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</si>
  <si>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</si>
  <si>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</si>
  <si>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</si>
  <si>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</si>
  <si>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</si>
  <si>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</si>
  <si>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</si>
  <si>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</si>
  <si>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</si>
  <si>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</si>
  <si>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</si>
  <si>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</si>
  <si>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</si>
  <si>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</si>
  <si>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</si>
  <si>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</si>
  <si>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</si>
  <si>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</si>
  <si>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</si>
  <si>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</si>
  <si>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</si>
  <si>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</si>
  <si>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</si>
  <si>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</si>
  <si>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</si>
  <si>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</si>
  <si>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</si>
  <si>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</si>
  <si>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</si>
  <si>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</si>
  <si>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</si>
  <si>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</si>
  <si>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</si>
  <si>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</si>
  <si>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</si>
  <si>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</si>
  <si>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</si>
  <si>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</si>
  <si>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</si>
  <si>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</si>
  <si>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</si>
  <si>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</si>
  <si>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</si>
  <si>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</si>
  <si>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</si>
  <si>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</si>
  <si>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</si>
  <si>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</si>
  <si>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</si>
  <si>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</si>
  <si>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</si>
  <si>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</si>
  <si>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</si>
  <si>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</si>
  <si>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</si>
  <si>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</si>
  <si>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</si>
  <si>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</si>
  <si>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</si>
  <si>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</si>
  <si>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</si>
  <si>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</si>
  <si>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</si>
  <si>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</si>
  <si>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</si>
  <si>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</si>
  <si>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</si>
  <si>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</si>
  <si>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</si>
  <si>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</si>
  <si>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</si>
  <si>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</si>
  <si>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</si>
  <si>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</si>
  <si>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</si>
  <si>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</si>
  <si>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</si>
  <si>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</si>
  <si>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</si>
  <si>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</si>
  <si>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</si>
  <si>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</si>
  <si>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</si>
  <si>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</si>
  <si>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</si>
  <si>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</si>
  <si>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</si>
  <si>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</si>
  <si>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</si>
  <si>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</si>
  <si>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</si>
  <si>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</si>
  <si>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</si>
  <si>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</si>
  <si>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</si>
  <si>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</si>
  <si>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</si>
  <si>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</si>
  <si>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</si>
  <si>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</si>
  <si>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</si>
  <si>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</si>
  <si>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</si>
  <si>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</si>
  <si>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</si>
  <si>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</si>
  <si>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</si>
  <si>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</si>
  <si>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</si>
  <si>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</si>
  <si>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</si>
  <si>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</si>
  <si>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</si>
  <si>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</si>
  <si>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</si>
  <si>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</si>
  <si>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</si>
  <si>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</si>
  <si>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</si>
  <si>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</si>
  <si>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</si>
  <si>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</si>
  <si>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</si>
  <si>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</si>
  <si>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</si>
  <si>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</si>
  <si>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</si>
  <si>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</si>
  <si>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</si>
  <si>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</si>
  <si>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</si>
  <si>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</si>
  <si>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</si>
  <si>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</si>
  <si>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</si>
  <si>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</si>
  <si>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</si>
  <si>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</si>
  <si>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</si>
  <si>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</si>
  <si>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</si>
  <si>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</si>
  <si>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</si>
  <si>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</si>
  <si>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</si>
  <si>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</si>
  <si>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</si>
  <si>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</si>
  <si>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</si>
  <si>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</si>
  <si>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</si>
  <si>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</si>
  <si>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</si>
  <si>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</si>
  <si>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</si>
  <si>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</si>
  <si>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</si>
  <si>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</si>
  <si>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</si>
  <si>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</si>
  <si>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</si>
  <si>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</si>
  <si>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</si>
  <si>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</si>
  <si>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</si>
  <si>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</si>
  <si>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</si>
  <si>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</si>
  <si>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</si>
  <si>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</si>
  <si>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</si>
  <si>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</si>
  <si>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</si>
  <si>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</si>
  <si>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</si>
  <si>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</si>
  <si>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</si>
  <si>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</si>
  <si>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</si>
  <si>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</si>
  <si>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</si>
  <si>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</si>
  <si>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</si>
  <si>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</si>
  <si>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</si>
  <si>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</si>
  <si>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</si>
  <si>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</si>
  <si>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</si>
  <si>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</si>
  <si>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</si>
  <si>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</si>
  <si>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</si>
  <si>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</si>
  <si>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</si>
  <si>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</si>
  <si>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</si>
  <si>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</si>
  <si>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</si>
  <si>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</si>
  <si>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</si>
  <si>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</si>
  <si>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</si>
  <si>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</si>
  <si>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</si>
  <si>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</si>
  <si>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</si>
  <si>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</si>
  <si>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</si>
  <si>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</si>
  <si>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</si>
  <si>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</si>
  <si>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</si>
  <si>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</si>
  <si>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</si>
  <si>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</si>
  <si>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</si>
  <si>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</si>
  <si>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</si>
  <si>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</si>
  <si>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</si>
  <si>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</si>
  <si>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</si>
  <si>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</si>
  <si>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</si>
  <si>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</si>
  <si>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</si>
  <si>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</si>
  <si>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</si>
  <si>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</si>
  <si>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</si>
  <si>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</si>
  <si>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</si>
  <si>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</si>
  <si>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</si>
  <si>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</si>
  <si>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</si>
  <si>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</si>
  <si>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</si>
  <si>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</si>
  <si>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</si>
  <si>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</si>
  <si>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</si>
  <si>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</si>
  <si>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</si>
  <si>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</si>
  <si>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</si>
  <si>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</si>
  <si>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</si>
  <si>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</si>
  <si>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</si>
  <si>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</si>
  <si>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</si>
  <si>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</si>
  <si>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</si>
  <si>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</si>
  <si>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</si>
  <si>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</si>
  <si>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</si>
  <si>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</si>
  <si>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</si>
  <si>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</si>
  <si>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</si>
  <si>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</si>
  <si>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</si>
  <si>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</si>
  <si>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</si>
  <si>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</si>
  <si>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</si>
  <si>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</si>
  <si>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</si>
  <si>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</si>
  <si>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</si>
  <si>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</si>
  <si>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</si>
  <si>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</si>
  <si>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</si>
  <si>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</si>
  <si>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</si>
  <si>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</si>
  <si>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</si>
  <si>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</si>
  <si>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</si>
  <si>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</si>
  <si>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</si>
  <si>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</si>
  <si>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</si>
  <si>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</si>
  <si>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</si>
  <si>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</si>
  <si>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</si>
  <si>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</si>
  <si>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</si>
  <si>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</si>
  <si>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</si>
  <si>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</si>
  <si>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</si>
  <si>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</si>
  <si>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</si>
  <si>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</si>
  <si>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</si>
  <si>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</si>
  <si>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</si>
  <si>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</si>
  <si>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</si>
  <si>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</si>
  <si>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</si>
  <si>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</si>
  <si>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</si>
  <si>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</si>
  <si>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</si>
  <si>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</si>
  <si>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</si>
  <si>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</si>
  <si>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</si>
  <si>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</si>
  <si>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</si>
  <si>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</si>
  <si>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</si>
  <si>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</si>
  <si>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</si>
  <si>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</si>
  <si>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</si>
  <si>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</si>
  <si>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</si>
  <si>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</si>
  <si>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</si>
  <si>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</si>
  <si>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</si>
  <si>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</si>
  <si>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</si>
  <si>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</si>
  <si>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</si>
  <si>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</si>
  <si>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</si>
  <si>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</si>
  <si>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</si>
  <si>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</si>
  <si>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</si>
  <si>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</si>
  <si>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</si>
  <si>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</si>
  <si>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</si>
  <si>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</si>
  <si>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</si>
  <si>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</si>
  <si>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</si>
  <si>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</si>
  <si>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</si>
  <si>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</si>
  <si>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</si>
  <si>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</si>
  <si>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</si>
  <si>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</si>
  <si>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</si>
  <si>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</si>
  <si>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</si>
  <si>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</si>
  <si>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</si>
  <si>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</si>
  <si>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</si>
  <si>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</si>
  <si>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</si>
  <si>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</si>
  <si>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</si>
  <si>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</si>
  <si>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</si>
  <si>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</si>
  <si>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</si>
  <si>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</si>
  <si>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</si>
  <si>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</si>
  <si>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</si>
  <si>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</si>
  <si>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</si>
  <si>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</si>
  <si>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</si>
  <si>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</si>
  <si>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</si>
  <si>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</si>
  <si>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</si>
  <si>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</si>
  <si>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</si>
  <si>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</si>
  <si>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</si>
  <si>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</si>
  <si>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</si>
  <si>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</si>
  <si>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</si>
  <si>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</si>
  <si>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</si>
  <si>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</si>
  <si>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</si>
  <si>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</si>
  <si>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</si>
  <si>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</si>
  <si>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</si>
  <si>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</si>
  <si>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</si>
  <si>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</si>
  <si>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</si>
  <si>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</si>
  <si>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</si>
  <si>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</si>
  <si>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</si>
  <si>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</si>
  <si>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</si>
  <si>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</si>
  <si>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</si>
  <si>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</si>
  <si>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</si>
  <si>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</si>
  <si>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</si>
  <si>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</si>
  <si>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</si>
  <si>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</si>
  <si>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</si>
  <si>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</si>
  <si>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</si>
  <si>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</si>
  <si>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</si>
  <si>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</si>
  <si>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</si>
  <si>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</si>
  <si>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</si>
  <si>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</si>
  <si>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</si>
  <si>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</si>
  <si>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</si>
  <si>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</si>
  <si>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</si>
  <si>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</si>
  <si>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</si>
  <si>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</si>
  <si>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</si>
  <si>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</si>
  <si>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</si>
  <si>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</si>
  <si>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</si>
  <si>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</si>
  <si>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</si>
  <si>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</si>
  <si>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</si>
  <si>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</si>
  <si>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</si>
  <si>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</si>
  <si>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</si>
  <si>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</si>
  <si>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</si>
  <si>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</si>
  <si>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</si>
  <si>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</si>
  <si>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</si>
  <si>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</si>
  <si>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</si>
  <si>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</si>
  <si>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</si>
  <si>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</si>
  <si>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</si>
  <si>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</si>
  <si>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</si>
  <si>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</si>
  <si>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</si>
  <si>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</si>
  <si>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</si>
  <si>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</si>
  <si>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</si>
  <si>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</si>
  <si>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</si>
  <si>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</si>
  <si>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</si>
  <si>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</si>
  <si>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</si>
  <si>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</si>
  <si>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</si>
  <si>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</si>
  <si>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</si>
  <si>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</si>
  <si>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</si>
  <si>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</si>
  <si>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</si>
  <si>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</si>
  <si>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</si>
  <si>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</si>
  <si>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</si>
  <si>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</si>
  <si>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</si>
  <si>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</si>
  <si>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</si>
  <si>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</si>
  <si>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</si>
  <si>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</si>
  <si>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</si>
  <si>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</si>
  <si>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</si>
  <si>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</si>
  <si>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</si>
  <si>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</si>
  <si>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</si>
  <si>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</si>
  <si>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</si>
  <si>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</si>
  <si>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</si>
  <si>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</si>
  <si>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</si>
  <si>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</si>
  <si>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</si>
  <si>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</si>
  <si>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</si>
  <si>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</si>
  <si>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</si>
  <si>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</si>
  <si>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</si>
  <si>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</si>
  <si>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</si>
  <si>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</si>
  <si>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</si>
  <si>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</si>
  <si>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</si>
  <si>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</si>
  <si>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</si>
  <si>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</si>
  <si>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</si>
  <si>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</si>
  <si>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</si>
  <si>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</si>
  <si>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</si>
  <si>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</si>
  <si>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</si>
  <si>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</si>
  <si>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</si>
  <si>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</si>
  <si>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</si>
  <si>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</si>
  <si>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</si>
  <si>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</si>
  <si>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</si>
  <si>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</si>
  <si>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</si>
  <si>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</si>
  <si>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</si>
  <si>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</si>
  <si>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</si>
  <si>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</si>
  <si>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</si>
  <si>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</si>
  <si>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</si>
  <si>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</si>
  <si>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</si>
  <si>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</si>
  <si>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</si>
  <si>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</si>
  <si>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</si>
  <si>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</si>
  <si>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</si>
  <si>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</si>
  <si>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</si>
  <si>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</si>
  <si>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</si>
  <si>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</si>
  <si>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</si>
  <si>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</si>
  <si>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</si>
  <si>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</si>
  <si>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</si>
  <si>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</si>
  <si>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</si>
  <si>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</si>
  <si>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</si>
  <si>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</si>
  <si>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</si>
  <si>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</si>
  <si>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</si>
  <si>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</si>
  <si>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</si>
  <si>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</si>
  <si>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</si>
  <si>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</si>
  <si>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</si>
  <si>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</si>
  <si>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</si>
  <si>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</si>
  <si>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</si>
  <si>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</si>
  <si>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</si>
  <si>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</si>
  <si>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</si>
  <si>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</si>
  <si>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</si>
  <si>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</si>
  <si>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</si>
  <si>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</si>
  <si>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</si>
  <si>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</si>
  <si>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</si>
  <si>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</si>
  <si>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</si>
  <si>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</si>
  <si>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</si>
  <si>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</si>
  <si>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</si>
  <si>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</si>
  <si>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</si>
  <si>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</si>
  <si>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</si>
  <si>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</si>
  <si>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</si>
  <si>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</si>
  <si>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</si>
  <si>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</si>
  <si>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</si>
  <si>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</si>
  <si>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</si>
  <si>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</si>
  <si>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</si>
  <si>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</si>
  <si>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</si>
  <si>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</si>
  <si>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</si>
  <si>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</si>
  <si>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</si>
  <si>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</si>
  <si>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</si>
  <si>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</si>
  <si>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</si>
  <si>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</si>
  <si>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</si>
  <si>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</si>
  <si>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</si>
  <si>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</si>
  <si>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</si>
  <si>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</si>
  <si>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</si>
  <si>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</si>
  <si>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</si>
  <si>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</si>
  <si>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</si>
  <si>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</si>
  <si>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</si>
  <si>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</si>
  <si>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</si>
  <si>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</si>
  <si>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</si>
  <si>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</si>
  <si>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</si>
  <si>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</si>
  <si>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</si>
  <si>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</si>
  <si>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</si>
  <si>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</si>
  <si>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</si>
  <si>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</si>
  <si>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</si>
  <si>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</si>
  <si>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</si>
  <si>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</si>
  <si>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</si>
  <si>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</si>
  <si>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</si>
  <si>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</si>
  <si>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</si>
  <si>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</si>
  <si>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</si>
  <si>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</si>
  <si>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</si>
  <si>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</si>
  <si>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</si>
  <si>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</si>
  <si>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</si>
  <si>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</si>
  <si>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</si>
  <si>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</si>
  <si>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</si>
  <si>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</si>
  <si>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</si>
  <si>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</si>
  <si>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</si>
  <si>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</si>
  <si>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</si>
  <si>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</si>
  <si>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</si>
  <si>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</si>
  <si>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</si>
  <si>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</si>
  <si>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</si>
  <si>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</si>
  <si>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</si>
  <si>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</si>
  <si>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</si>
  <si>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</si>
  <si>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</si>
  <si>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</si>
  <si>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</si>
  <si>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</si>
  <si>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</si>
  <si>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</si>
  <si>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</si>
  <si>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</si>
  <si>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</si>
  <si>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</si>
  <si>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</si>
  <si>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</si>
  <si>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</si>
  <si>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</si>
  <si>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</si>
  <si>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</si>
  <si>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</si>
  <si>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</si>
  <si>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</si>
  <si>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</si>
  <si>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</si>
  <si>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</si>
  <si>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</si>
  <si>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</si>
  <si>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</si>
  <si>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</si>
  <si>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</si>
  <si>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</si>
  <si>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</si>
  <si>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</si>
  <si>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</si>
  <si>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</si>
  <si>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</si>
  <si>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</si>
  <si>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</si>
  <si>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</si>
  <si>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</si>
  <si>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</si>
  <si>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</si>
  <si>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</si>
  <si>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</si>
  <si>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</si>
  <si>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</si>
  <si>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</si>
  <si>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</si>
  <si>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</si>
  <si>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</si>
  <si>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</si>
  <si>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</si>
  <si>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</si>
  <si>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</si>
  <si>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</si>
  <si>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</si>
  <si>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</si>
  <si>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</si>
  <si>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</si>
  <si>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</si>
  <si>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</si>
  <si>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</si>
  <si>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</si>
  <si>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</si>
  <si>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</si>
  <si>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</si>
  <si>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</si>
  <si>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</si>
  <si>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</si>
  <si>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</si>
  <si>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</si>
  <si>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</si>
  <si>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</si>
  <si>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</si>
  <si>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</si>
  <si>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</si>
  <si>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</si>
  <si>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</si>
  <si>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</si>
  <si>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</si>
  <si>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</si>
  <si>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</si>
  <si>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</si>
  <si>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</si>
  <si>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</si>
  <si>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</si>
  <si>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</si>
  <si>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</si>
  <si>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</si>
  <si>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</si>
  <si>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</si>
  <si>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</si>
  <si>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</si>
  <si>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</si>
  <si>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</si>
  <si>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</si>
  <si>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</si>
  <si>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</si>
  <si>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</si>
  <si>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</si>
  <si>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</si>
  <si>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</si>
  <si>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</si>
  <si>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</si>
  <si>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</si>
  <si>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</si>
  <si>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</si>
  <si>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</si>
  <si>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</si>
  <si>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</si>
  <si>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</si>
  <si>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</si>
  <si>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</si>
  <si>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</si>
  <si>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</si>
  <si>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</si>
  <si>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</si>
  <si>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</si>
  <si>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</si>
  <si>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</si>
  <si>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</si>
  <si>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</si>
  <si>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</si>
  <si>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</si>
  <si>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</si>
  <si>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</si>
  <si>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</si>
  <si>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</si>
  <si>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</si>
  <si>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</si>
  <si>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</si>
  <si>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</si>
  <si>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</si>
  <si>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</si>
  <si>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</si>
  <si>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</si>
  <si>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</si>
  <si>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</si>
  <si>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</si>
  <si>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</si>
  <si>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</si>
  <si>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</si>
  <si>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</si>
  <si>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</si>
  <si>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</si>
  <si>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</si>
  <si>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</si>
  <si>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</si>
  <si>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</si>
  <si>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</si>
  <si>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</si>
  <si>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</si>
  <si>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</si>
  <si>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</si>
  <si>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</si>
  <si>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</si>
  <si>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</si>
  <si>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</si>
  <si>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</si>
  <si>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</si>
  <si>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</si>
  <si>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</si>
  <si>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</si>
  <si>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</si>
  <si>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</si>
  <si>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</si>
  <si>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</si>
  <si>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</si>
  <si>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</si>
  <si>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</si>
  <si>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</si>
  <si>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</si>
  <si>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</si>
  <si>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</si>
  <si>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</si>
  <si>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</si>
  <si>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</si>
  <si>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</si>
  <si>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</si>
  <si>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</si>
  <si>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</si>
  <si>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</si>
  <si>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</si>
  <si>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</si>
  <si>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</si>
  <si>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</si>
  <si>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</si>
  <si>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</si>
  <si>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</si>
  <si>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</si>
  <si>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</si>
  <si>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</si>
  <si>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</si>
  <si>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</si>
  <si>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</si>
  <si>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</si>
  <si>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</si>
  <si>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</si>
  <si>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</si>
  <si>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</si>
  <si>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</si>
  <si>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</si>
  <si>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</si>
  <si>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</si>
  <si>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</si>
  <si>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</si>
  <si>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</si>
  <si>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</si>
  <si>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</si>
  <si>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</si>
  <si>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</si>
  <si>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</si>
  <si>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</si>
  <si>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</si>
  <si>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</si>
  <si>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</si>
  <si>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</si>
  <si>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</si>
  <si>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</si>
  <si>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</si>
  <si>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</si>
  <si>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</si>
  <si>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</si>
  <si>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</si>
  <si>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</si>
  <si>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</si>
  <si>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</si>
  <si>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</si>
  <si>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</si>
  <si>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</si>
  <si>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</si>
  <si>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</si>
  <si>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</si>
  <si>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</si>
  <si>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</si>
  <si>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</si>
  <si>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</si>
  <si>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</si>
  <si>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</si>
  <si>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</si>
  <si>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</si>
  <si>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</si>
  <si>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</si>
  <si>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</si>
  <si>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</si>
  <si>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</si>
  <si>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</si>
  <si>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</si>
  <si>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</si>
  <si>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</si>
  <si>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</si>
  <si>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</si>
  <si>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</si>
  <si>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</si>
  <si>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</si>
  <si>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</si>
  <si>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</si>
  <si>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</si>
  <si>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</si>
  <si>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</si>
  <si>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</si>
  <si>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</si>
  <si>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</si>
  <si>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</si>
  <si>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</si>
  <si>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</si>
  <si>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</si>
  <si>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</si>
  <si>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</si>
  <si>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</si>
  <si>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</si>
  <si>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</si>
  <si>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</si>
  <si>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</si>
  <si>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</si>
  <si>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</si>
  <si>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</si>
  <si>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</si>
  <si>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</si>
  <si>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</si>
  <si>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</si>
  <si>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</si>
  <si>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</si>
  <si>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</si>
  <si>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</si>
  <si>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</si>
  <si>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</si>
  <si>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</si>
  <si>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</si>
  <si>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</si>
  <si>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</si>
  <si>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</si>
  <si>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</si>
  <si>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</si>
  <si>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</si>
  <si>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</si>
  <si>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</si>
  <si>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</si>
  <si>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</si>
  <si>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</si>
  <si>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</si>
  <si>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</si>
  <si>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</si>
  <si>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</si>
  <si>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</si>
  <si>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</si>
  <si>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</si>
  <si>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</si>
  <si>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</si>
  <si>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</si>
  <si>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</si>
  <si>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</si>
  <si>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</si>
  <si>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</si>
  <si>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</si>
  <si>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</si>
  <si>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</si>
  <si>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</si>
  <si>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</si>
  <si>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</si>
  <si>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</si>
  <si>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</si>
  <si>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</si>
  <si>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</si>
  <si>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</si>
  <si>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</si>
  <si>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</si>
  <si>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</si>
  <si>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</si>
  <si>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</si>
  <si>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</si>
  <si>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</si>
  <si>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</si>
  <si>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</si>
  <si>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</si>
  <si>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</si>
  <si>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</si>
  <si>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</si>
  <si>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</si>
  <si>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</si>
  <si>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</si>
  <si>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</si>
  <si>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</si>
  <si>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</si>
  <si>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</si>
  <si>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</si>
  <si>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</si>
  <si>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</si>
  <si>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</si>
  <si>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</si>
  <si>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</si>
  <si>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</si>
  <si>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</si>
  <si>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</si>
  <si>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</si>
  <si>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</si>
  <si>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</si>
  <si>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</si>
  <si>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</si>
  <si>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</si>
  <si>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</si>
  <si>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</si>
  <si>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</si>
  <si>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</si>
  <si>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</si>
  <si>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</si>
  <si>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</si>
  <si>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</si>
  <si>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</si>
  <si>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</si>
  <si>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</si>
  <si>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</si>
  <si>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</si>
  <si>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</si>
  <si>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</si>
  <si>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</si>
  <si>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</si>
  <si>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</si>
  <si>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</si>
  <si>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</si>
  <si>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</si>
  <si>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</si>
  <si>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</si>
  <si>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</si>
  <si>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</si>
  <si>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</si>
  <si>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</si>
  <si>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</si>
  <si>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</si>
  <si>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</si>
  <si>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</si>
  <si>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</si>
  <si>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</si>
  <si>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</si>
  <si>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</si>
  <si>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</si>
  <si>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</si>
  <si>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</si>
  <si>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</si>
  <si>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</si>
  <si>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</si>
  <si>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</si>
  <si>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</si>
  <si>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</si>
  <si>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</si>
  <si>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</si>
  <si>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</si>
  <si>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</si>
  <si>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</si>
  <si>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</si>
  <si>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</si>
  <si>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</si>
  <si>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</si>
  <si>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</si>
  <si>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</si>
  <si>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</si>
  <si>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</si>
  <si>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</si>
  <si>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</si>
  <si>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</si>
  <si>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</si>
  <si>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</si>
  <si>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</si>
  <si>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</si>
  <si>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</si>
  <si>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</si>
  <si>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</si>
  <si>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</si>
  <si>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</si>
  <si>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</si>
  <si>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</si>
  <si>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</si>
  <si>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</si>
  <si>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</si>
  <si>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</si>
  <si>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</si>
  <si>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</si>
  <si>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</si>
  <si>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</si>
  <si>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</si>
  <si>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</si>
  <si>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</si>
  <si>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</si>
  <si>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</si>
  <si>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</si>
  <si>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</si>
  <si>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</si>
  <si>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</si>
  <si>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</si>
  <si>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</si>
  <si>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</si>
  <si>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</si>
  <si>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</si>
  <si>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</si>
  <si>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</si>
  <si>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</si>
  <si>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</si>
  <si>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</si>
  <si>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</si>
  <si>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</si>
  <si>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</si>
  <si>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</si>
  <si>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</si>
  <si>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</si>
  <si>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</si>
  <si>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</si>
  <si>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</si>
  <si>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</si>
  <si>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</si>
  <si>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</si>
  <si>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</si>
  <si>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</si>
  <si>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</si>
  <si>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</si>
  <si>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</si>
  <si>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</si>
  <si>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</si>
  <si>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</si>
  <si>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</si>
  <si>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</si>
  <si>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</si>
  <si>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</si>
  <si>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</si>
  <si>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</si>
  <si>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</si>
  <si>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</si>
  <si>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</si>
  <si>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</si>
  <si>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</si>
  <si>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</si>
  <si>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</si>
  <si>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</si>
  <si>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</si>
  <si>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</si>
  <si>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</si>
  <si>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</si>
  <si>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</si>
  <si>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</si>
  <si>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</si>
  <si>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</si>
  <si>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</si>
  <si>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</si>
  <si>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</si>
  <si>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</si>
  <si>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</si>
  <si>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</si>
  <si>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</si>
  <si>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</si>
  <si>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</si>
  <si>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</si>
  <si>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</si>
  <si>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</si>
  <si>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</si>
  <si>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</si>
  <si>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</si>
  <si>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</si>
  <si>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</si>
  <si>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</si>
  <si>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</si>
  <si>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</si>
  <si>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</si>
  <si>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</si>
  <si>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</si>
  <si>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</si>
  <si>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</si>
  <si>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</si>
  <si>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</si>
  <si>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</si>
  <si>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</si>
  <si>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</si>
  <si>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</si>
  <si>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</si>
  <si>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</si>
  <si>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</si>
  <si>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</si>
  <si>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</si>
  <si>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</si>
  <si>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</si>
  <si>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</si>
  <si>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</si>
  <si>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</si>
  <si>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</si>
  <si>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</si>
  <si>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</si>
  <si>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</si>
  <si>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</si>
  <si>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</si>
  <si>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</si>
  <si>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</si>
  <si>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</si>
  <si>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</si>
  <si>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</si>
  <si>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</si>
  <si>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</si>
  <si>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</si>
  <si>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</si>
  <si>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</si>
  <si>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</si>
  <si>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</si>
  <si>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</si>
  <si>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</si>
  <si>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</si>
  <si>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</si>
  <si>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</si>
  <si>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</si>
  <si>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</si>
  <si>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</si>
  <si>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</si>
  <si>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</si>
  <si>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</si>
  <si>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</si>
  <si>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</si>
  <si>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</si>
  <si>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</si>
  <si>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</si>
  <si>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</si>
  <si>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</si>
  <si>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</si>
  <si>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</si>
  <si>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</si>
  <si>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</si>
  <si>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</si>
  <si>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</si>
  <si>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</si>
  <si>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</si>
  <si>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</si>
  <si>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</si>
  <si>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</si>
  <si>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</si>
  <si>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</si>
  <si>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</si>
  <si>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</si>
  <si>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</si>
  <si>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</si>
  <si>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</si>
  <si>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</si>
  <si>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</si>
  <si>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</si>
  <si>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</si>
  <si>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</si>
  <si>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</si>
  <si>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</si>
  <si>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</si>
  <si>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</si>
  <si>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</si>
  <si>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</si>
  <si>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</si>
  <si>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</si>
  <si>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</si>
  <si>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</si>
  <si>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</si>
  <si>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</si>
  <si>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</si>
  <si>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</si>
  <si>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</si>
  <si>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</si>
  <si>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</si>
  <si>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</si>
  <si>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</si>
  <si>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</si>
  <si>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</si>
  <si>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</si>
  <si>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</si>
  <si>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</si>
  <si>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</si>
  <si>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</si>
  <si>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</si>
  <si>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</si>
  <si>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</si>
  <si>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</si>
  <si>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</si>
  <si>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</si>
  <si>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</si>
  <si>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</si>
  <si>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</si>
  <si>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</si>
  <si>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</si>
  <si>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</si>
  <si>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</si>
  <si>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</si>
  <si>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</si>
  <si>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</si>
  <si>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</si>
  <si>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</si>
  <si>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</si>
  <si>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</si>
  <si>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</si>
  <si>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</si>
  <si>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</si>
  <si>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</si>
  <si>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</si>
  <si>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</si>
  <si>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</si>
  <si>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</si>
  <si>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</si>
  <si>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</si>
  <si>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</si>
  <si>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</si>
  <si>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</si>
  <si>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</si>
  <si>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</si>
  <si>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</si>
  <si>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</si>
  <si>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</si>
  <si>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</si>
  <si>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</si>
  <si>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</si>
  <si>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</si>
  <si>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</si>
  <si>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</si>
  <si>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</si>
  <si>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</si>
  <si>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</si>
  <si>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</si>
  <si>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</si>
  <si>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</si>
  <si>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</si>
  <si>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</si>
  <si>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</si>
  <si>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</si>
  <si>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</si>
  <si>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</si>
  <si>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</si>
  <si>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</si>
  <si>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</si>
  <si>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</si>
  <si>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</si>
  <si>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</si>
  <si>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</si>
  <si>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</si>
  <si>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</si>
  <si>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</si>
  <si>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</si>
  <si>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</si>
  <si>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</si>
  <si>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</si>
  <si>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</si>
  <si>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</si>
  <si>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</si>
  <si>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</si>
  <si>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</si>
  <si>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</si>
  <si>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</si>
  <si>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</si>
  <si>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</si>
  <si>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</si>
  <si>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</si>
  <si>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</si>
  <si>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</si>
  <si>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</si>
  <si>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</si>
  <si>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</si>
  <si>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</si>
  <si>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</si>
  <si>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</si>
  <si>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</si>
  <si>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</si>
  <si>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</si>
  <si>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</si>
  <si>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</si>
  <si>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</si>
  <si>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</si>
  <si>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</si>
  <si>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</si>
  <si>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</si>
  <si>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</si>
  <si>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</si>
  <si>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</si>
  <si>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</si>
  <si>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</si>
  <si>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</si>
  <si>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</si>
  <si>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</si>
  <si>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</si>
  <si>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</si>
  <si>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</si>
  <si>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</si>
  <si>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</si>
  <si>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</si>
  <si>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</si>
  <si>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</si>
  <si>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</si>
  <si>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</si>
  <si>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</si>
  <si>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</si>
  <si>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</si>
  <si>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</si>
  <si>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</si>
  <si>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</si>
  <si>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</si>
  <si>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</si>
  <si>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</si>
  <si>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</si>
  <si>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</si>
  <si>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</si>
  <si>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</si>
  <si>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</si>
  <si>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</si>
  <si>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</si>
  <si>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</si>
  <si>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</si>
  <si>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</si>
  <si>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</si>
  <si>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</si>
  <si>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</si>
  <si>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</si>
  <si>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</si>
  <si>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</si>
  <si>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</si>
  <si>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</si>
  <si>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</si>
  <si>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</si>
  <si>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</si>
  <si>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</si>
  <si>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</si>
  <si>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</si>
  <si>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</si>
  <si>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</si>
  <si>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</si>
  <si>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</si>
  <si>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</si>
  <si>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</si>
  <si>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</si>
  <si>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</si>
  <si>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</si>
  <si>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</si>
  <si>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</si>
  <si>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</si>
  <si>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</si>
  <si>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</si>
  <si>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</si>
  <si>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</si>
  <si>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</si>
  <si>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</si>
  <si>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</si>
  <si>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</si>
  <si>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</si>
  <si>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</si>
  <si>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</si>
  <si>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</si>
  <si>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</si>
  <si>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</si>
  <si>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</si>
  <si>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</si>
  <si>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</si>
  <si>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</si>
  <si>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</si>
  <si>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</si>
  <si>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</si>
  <si>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</si>
  <si>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</si>
  <si>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</si>
  <si>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</si>
  <si>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</si>
  <si>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</si>
  <si>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</si>
  <si>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</si>
  <si>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</si>
  <si>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</si>
  <si>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</si>
  <si>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</si>
  <si>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</si>
  <si>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</si>
  <si>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</si>
  <si>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</si>
  <si>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</si>
  <si>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</si>
  <si>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</si>
  <si>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</si>
  <si>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</si>
  <si>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</si>
  <si>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</si>
  <si>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</si>
  <si>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</si>
  <si>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</si>
  <si>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</si>
  <si>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</si>
  <si>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</si>
  <si>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</si>
  <si>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</si>
  <si>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</si>
  <si>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</si>
  <si>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</si>
  <si>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</si>
  <si>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</si>
  <si>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</si>
  <si>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</si>
  <si>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</si>
  <si>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</si>
  <si>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</si>
  <si>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</si>
  <si>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</si>
  <si>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</si>
  <si>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</si>
  <si>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</si>
  <si>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</si>
  <si>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</si>
  <si>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</si>
  <si>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</si>
  <si>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</si>
  <si>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</si>
  <si>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</si>
  <si>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</si>
  <si>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</si>
  <si>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</si>
  <si>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</si>
  <si>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</si>
  <si>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</si>
  <si>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</si>
  <si>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</si>
  <si>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</si>
  <si>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</si>
  <si>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</si>
  <si>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</si>
  <si>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</si>
  <si>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</si>
  <si>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</si>
  <si>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</si>
  <si>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</si>
  <si>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</si>
  <si>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</si>
  <si>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</si>
  <si>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</si>
  <si>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</si>
  <si>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</si>
  <si>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</si>
  <si>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</si>
  <si>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</si>
  <si>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</si>
  <si>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</si>
  <si>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</si>
  <si>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</si>
  <si>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</si>
  <si>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</si>
  <si>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</si>
  <si>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</si>
  <si>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</si>
  <si>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</si>
  <si>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</si>
  <si>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</si>
  <si>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</si>
  <si>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</si>
  <si>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</si>
  <si>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</si>
  <si>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</si>
  <si>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</si>
  <si>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</si>
  <si>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</si>
  <si>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</si>
  <si>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</si>
  <si>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</si>
  <si>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</si>
  <si>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</si>
  <si>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</si>
  <si>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</si>
  <si>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</si>
  <si>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</si>
  <si>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</si>
  <si>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</si>
  <si>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</si>
  <si>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</si>
  <si>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</si>
  <si>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</si>
  <si>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</si>
  <si>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</si>
  <si>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</si>
  <si>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</si>
  <si>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</si>
  <si>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</si>
  <si>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</si>
  <si>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</si>
  <si>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</si>
  <si>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</si>
  <si>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</si>
  <si>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</si>
  <si>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</si>
  <si>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</si>
  <si>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</si>
  <si>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</si>
  <si>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</si>
  <si>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</si>
  <si>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</si>
  <si>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</si>
  <si>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</si>
  <si>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</si>
  <si>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</si>
  <si>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</si>
  <si>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</si>
  <si>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</si>
  <si>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</si>
  <si>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</si>
  <si>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</si>
  <si>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</si>
  <si>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</si>
  <si>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</si>
  <si>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</si>
  <si>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</si>
  <si>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</si>
  <si>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</si>
  <si>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</si>
  <si>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</si>
  <si>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</si>
  <si>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</si>
  <si>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</si>
  <si>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</si>
  <si>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</si>
  <si>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</si>
  <si>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</si>
  <si>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</si>
  <si>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</si>
  <si>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</si>
  <si>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</si>
  <si>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</si>
  <si>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</si>
  <si>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</si>
  <si>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</si>
  <si>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</si>
  <si>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</si>
  <si>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</si>
  <si>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</si>
  <si>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</si>
  <si>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</si>
  <si>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</si>
  <si>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</si>
  <si>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</si>
  <si>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</si>
  <si>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</si>
  <si>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</si>
  <si>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</si>
  <si>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</si>
  <si>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</si>
  <si>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</si>
  <si>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</si>
  <si>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</si>
  <si>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</si>
  <si>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</si>
  <si>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</si>
  <si>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</si>
  <si>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</si>
  <si>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</si>
  <si>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</si>
  <si>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</si>
  <si>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</si>
  <si>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</si>
  <si>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</si>
  <si>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</si>
  <si>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</si>
  <si>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</si>
  <si>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</si>
  <si>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</si>
  <si>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</si>
  <si>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</si>
  <si>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</si>
  <si>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</si>
  <si>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</si>
  <si>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</si>
  <si>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</si>
  <si>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</si>
  <si>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</si>
  <si>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</si>
  <si>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</si>
  <si>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</si>
  <si>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</si>
  <si>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</si>
  <si>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</si>
  <si>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</si>
  <si>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</si>
  <si>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</si>
  <si>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</si>
  <si>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</si>
  <si>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</si>
  <si>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</si>
  <si>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</si>
  <si>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</si>
  <si>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</si>
  <si>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</si>
  <si>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</si>
  <si>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</si>
  <si>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</si>
  <si>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</si>
  <si>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</si>
  <si>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</si>
  <si>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</si>
  <si>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</si>
  <si>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</si>
  <si>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</si>
  <si>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</si>
  <si>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</si>
  <si>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</si>
  <si>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</si>
  <si>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</si>
  <si>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</si>
  <si>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</si>
  <si>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</si>
  <si>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</si>
  <si>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</si>
  <si>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</si>
  <si>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</si>
  <si>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</si>
  <si>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</si>
  <si>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</si>
  <si>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</si>
  <si>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</si>
  <si>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</si>
  <si>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</si>
  <si>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</si>
  <si>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</si>
  <si>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</si>
  <si>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</si>
  <si>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</si>
  <si>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</si>
  <si>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</si>
  <si>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</si>
  <si>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</si>
  <si>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</si>
  <si>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</si>
  <si>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</si>
  <si>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</si>
  <si>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</si>
  <si>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</si>
  <si>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</si>
  <si>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</si>
  <si>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</si>
  <si>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</si>
  <si>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</si>
  <si>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</si>
  <si>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</si>
  <si>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</si>
  <si>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</si>
  <si>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</si>
  <si>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</si>
  <si>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</si>
  <si>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</si>
  <si>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</si>
  <si>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</si>
  <si>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</si>
  <si>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</si>
  <si>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</si>
  <si>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</si>
  <si>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</si>
  <si>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</si>
  <si>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</si>
  <si>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</si>
  <si>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</si>
  <si>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</si>
  <si>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</si>
  <si>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</si>
  <si>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</si>
  <si>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</si>
  <si>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</si>
  <si>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</si>
  <si>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</si>
  <si>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</si>
  <si>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</si>
  <si>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</si>
  <si>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</si>
  <si>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</si>
  <si>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</si>
  <si>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</si>
  <si>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</si>
  <si>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</si>
  <si>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</si>
  <si>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</si>
  <si>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</si>
  <si>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</si>
  <si>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</si>
  <si>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</si>
  <si>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</si>
  <si>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</si>
  <si>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</si>
  <si>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</si>
  <si>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</si>
  <si>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</si>
  <si>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</si>
  <si>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</si>
  <si>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</si>
  <si>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</si>
  <si>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</si>
  <si>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</si>
  <si>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</si>
  <si>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</si>
  <si>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</si>
  <si>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</si>
  <si>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</si>
  <si>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</si>
  <si>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</si>
  <si>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</si>
  <si>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</si>
  <si>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</si>
  <si>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</si>
  <si>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</si>
  <si>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</si>
  <si>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</si>
  <si>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</si>
  <si>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</si>
  <si>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</si>
  <si>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</si>
  <si>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</si>
  <si>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</si>
  <si>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</si>
  <si>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</si>
  <si>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</si>
  <si>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</si>
  <si>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</si>
  <si>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</si>
  <si>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</si>
  <si>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</si>
  <si>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</si>
  <si>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</si>
  <si>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</si>
  <si>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</si>
  <si>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</si>
  <si>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</si>
  <si>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</si>
  <si>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</si>
  <si>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</si>
  <si>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</si>
  <si>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</si>
  <si>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</si>
  <si>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</si>
  <si>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</si>
  <si>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</si>
  <si>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</si>
  <si>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</si>
  <si>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</si>
  <si>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</si>
  <si>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</si>
  <si>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</si>
  <si>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</si>
  <si>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</si>
  <si>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</si>
  <si>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</si>
  <si>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</si>
  <si>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</si>
  <si>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</si>
  <si>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</si>
  <si>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</si>
  <si>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</si>
  <si>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</si>
  <si>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</si>
  <si>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</si>
  <si>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</si>
  <si>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</si>
  <si>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</si>
  <si>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</si>
  <si>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</si>
  <si>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</si>
  <si>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</si>
  <si>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</si>
  <si>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</si>
  <si>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</si>
  <si>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</si>
  <si>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</si>
  <si>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</si>
  <si>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</si>
  <si>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</si>
  <si>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</si>
  <si>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</si>
  <si>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</si>
  <si>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</si>
  <si>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</si>
  <si>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</si>
  <si>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</si>
  <si>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</si>
  <si>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</si>
  <si>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</si>
  <si>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</si>
  <si>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</si>
  <si>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</si>
  <si>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</si>
  <si>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</si>
  <si>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</si>
  <si>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</si>
  <si>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</si>
  <si>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</si>
  <si>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</si>
  <si>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</si>
  <si>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</si>
  <si>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</si>
  <si>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</si>
  <si>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</si>
  <si>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</si>
  <si>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</si>
  <si>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</si>
  <si>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</si>
  <si>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</si>
  <si>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</si>
  <si>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</si>
  <si>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</si>
  <si>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</si>
  <si>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</si>
  <si>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</si>
  <si>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</si>
  <si>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</si>
  <si>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</si>
  <si>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</si>
  <si>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</si>
  <si>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</si>
  <si>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</si>
  <si>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</si>
  <si>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</si>
  <si>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</si>
  <si>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</si>
  <si>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</si>
  <si>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</si>
  <si>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</si>
  <si>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</si>
  <si>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</si>
  <si>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</si>
  <si>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</si>
  <si>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</si>
  <si>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</si>
  <si>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</si>
  <si>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</si>
  <si>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</si>
  <si>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</si>
  <si>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</si>
  <si>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</si>
  <si>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</si>
  <si>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</si>
  <si>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</si>
  <si>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</si>
  <si>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</si>
  <si>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</si>
  <si>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</si>
  <si>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</si>
  <si>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</si>
  <si>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</si>
  <si>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</si>
  <si>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</si>
  <si>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</si>
  <si>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</si>
  <si>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</si>
  <si>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</si>
  <si>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</si>
  <si>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</si>
  <si>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</si>
  <si>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</si>
  <si>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</si>
  <si>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</si>
  <si>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</si>
  <si>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</si>
  <si>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</si>
  <si>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</si>
  <si>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</si>
  <si>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</si>
  <si>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</si>
  <si>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</si>
  <si>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</si>
  <si>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</si>
  <si>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</si>
  <si>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</si>
  <si>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</si>
  <si>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</si>
  <si>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</si>
  <si>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</si>
  <si>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</si>
  <si>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</si>
  <si>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</si>
  <si>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</si>
  <si>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</si>
  <si>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</si>
  <si>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</si>
  <si>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</si>
  <si>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</si>
  <si>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</si>
  <si>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</si>
  <si>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</si>
  <si>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</si>
  <si>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</si>
  <si>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</si>
  <si>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</si>
  <si>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</si>
  <si>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</si>
  <si>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</si>
  <si>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</si>
  <si>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</si>
  <si>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</si>
  <si>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</si>
  <si>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</si>
  <si>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</si>
  <si>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</si>
  <si>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</si>
  <si>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</si>
  <si>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</si>
  <si>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</si>
  <si>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</si>
  <si>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</si>
  <si>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</si>
  <si>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</si>
  <si>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</si>
  <si>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</si>
  <si>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</si>
  <si>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</si>
  <si>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</si>
  <si>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</si>
  <si>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</si>
  <si>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</si>
  <si>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</si>
  <si>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</si>
  <si>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</si>
  <si>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</si>
  <si>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</si>
  <si>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</si>
  <si>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</si>
  <si>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</si>
  <si>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</si>
  <si>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</si>
  <si>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</si>
  <si>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</si>
  <si>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</si>
  <si>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</si>
  <si>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</si>
  <si>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</si>
  <si>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</si>
  <si>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</si>
  <si>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</si>
  <si>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</si>
  <si>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</si>
  <si>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</si>
  <si>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</si>
  <si>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</si>
  <si>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</si>
  <si>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</si>
  <si>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</si>
  <si>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</si>
  <si>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</si>
  <si>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</si>
  <si>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</si>
  <si>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</si>
  <si>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</si>
  <si>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</si>
  <si>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</si>
  <si>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</si>
  <si>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</si>
  <si>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</si>
  <si>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</si>
  <si>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</si>
  <si>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</si>
  <si>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</si>
  <si>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</si>
  <si>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</si>
  <si>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</si>
  <si>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</si>
  <si>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</si>
  <si>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</si>
  <si>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</si>
  <si>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</si>
  <si>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</si>
  <si>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</si>
  <si>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</si>
  <si>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</si>
  <si>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</si>
  <si>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</si>
  <si>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</si>
  <si>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</si>
  <si>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</si>
  <si>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</si>
  <si>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</si>
  <si>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</si>
  <si>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</si>
  <si>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</si>
  <si>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</si>
  <si>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</si>
  <si>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</si>
  <si>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</si>
  <si>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</si>
  <si>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</si>
  <si>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</si>
  <si>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</si>
  <si>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</si>
  <si>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</si>
  <si>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</si>
  <si>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</si>
  <si>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</si>
  <si>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</si>
  <si>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</si>
  <si>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</si>
  <si>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</si>
  <si>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</si>
  <si>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</si>
  <si>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</si>
  <si>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</si>
  <si>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</si>
  <si>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</si>
  <si>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</si>
  <si>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</si>
  <si>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</si>
  <si>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</si>
  <si>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</si>
  <si>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</si>
  <si>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</si>
  <si>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</si>
  <si>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</si>
  <si>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</si>
  <si>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</si>
  <si>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</si>
  <si>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</si>
  <si>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</si>
  <si>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</si>
  <si>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</si>
  <si>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</si>
  <si>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</si>
  <si>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</si>
  <si>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</si>
  <si>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</si>
  <si>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</si>
  <si>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</si>
  <si>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</si>
  <si>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</si>
  <si>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</si>
  <si>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</si>
  <si>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</si>
  <si>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</si>
  <si>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</si>
  <si>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</si>
  <si>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</si>
  <si>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</si>
  <si>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</si>
  <si>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</si>
  <si>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</si>
  <si>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</si>
  <si>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</si>
  <si>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</si>
  <si>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</si>
  <si>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</si>
  <si>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</si>
  <si>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</si>
  <si>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</si>
  <si>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</si>
  <si>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</si>
  <si>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</si>
  <si>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</si>
  <si>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</si>
  <si>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</si>
  <si>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</si>
  <si>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</si>
  <si>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</si>
  <si>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</si>
  <si>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</si>
  <si>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</si>
  <si>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</si>
  <si>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</si>
  <si>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</si>
  <si>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</si>
  <si>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</si>
  <si>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</si>
  <si>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</si>
  <si>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</si>
  <si>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</si>
  <si>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</si>
  <si>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</si>
  <si>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</si>
  <si>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</si>
  <si>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</si>
  <si>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</si>
  <si>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</si>
  <si>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</si>
  <si>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</si>
  <si>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</si>
  <si>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</si>
  <si>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</si>
  <si>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</si>
  <si>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</si>
  <si>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</si>
  <si>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</si>
  <si>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</si>
  <si>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</si>
  <si>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</si>
  <si>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</si>
  <si>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</si>
  <si>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</si>
  <si>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</si>
  <si>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</si>
  <si>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</si>
  <si>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</si>
  <si>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</si>
  <si>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</si>
  <si>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</si>
  <si>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</si>
  <si>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</si>
  <si>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</si>
  <si>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</si>
  <si>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</si>
  <si>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</si>
  <si>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</si>
  <si>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</si>
  <si>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</si>
  <si>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</si>
  <si>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</si>
  <si>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</si>
  <si>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</si>
  <si>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</si>
  <si>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</si>
  <si>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</si>
  <si>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</si>
  <si>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</si>
  <si>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</si>
  <si>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</si>
  <si>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</si>
  <si>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</si>
  <si>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</si>
  <si>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</si>
  <si>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</si>
  <si>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</si>
  <si>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</si>
  <si>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</si>
  <si>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</si>
  <si>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</si>
  <si>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</si>
  <si>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</si>
  <si>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</si>
  <si>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</si>
  <si>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</si>
  <si>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</si>
  <si>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</si>
  <si>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</si>
  <si>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</si>
  <si>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</si>
  <si>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</si>
  <si>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</si>
  <si>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</si>
  <si>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</si>
  <si>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</si>
  <si>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</si>
  <si>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</si>
  <si>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</si>
  <si>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</si>
  <si>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</si>
  <si>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</si>
  <si>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</si>
  <si>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</si>
  <si>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</si>
  <si>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</si>
  <si>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</si>
  <si>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</si>
  <si>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</si>
  <si>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</si>
  <si>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</si>
  <si>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</si>
  <si>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</si>
  <si>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</si>
  <si>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</si>
  <si>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</si>
  <si>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</si>
  <si>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</si>
  <si>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</si>
  <si>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</si>
  <si>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</si>
  <si>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</si>
  <si>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</si>
  <si>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</si>
  <si>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</si>
  <si>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</si>
  <si>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</si>
  <si>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</si>
  <si>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</si>
  <si>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</si>
  <si>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</si>
  <si>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</si>
  <si>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</si>
  <si>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</si>
  <si>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</si>
  <si>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</si>
  <si>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</si>
  <si>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</si>
  <si>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</si>
  <si>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</si>
  <si>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</si>
  <si>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</si>
  <si>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</si>
  <si>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</si>
  <si>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</si>
  <si>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</si>
  <si>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</si>
  <si>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</si>
  <si>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</si>
  <si>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</si>
  <si>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</si>
  <si>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</si>
  <si>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</si>
  <si>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</si>
  <si>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</si>
  <si>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</si>
  <si>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</si>
  <si>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</si>
  <si>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</si>
  <si>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</si>
  <si>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</si>
  <si>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</si>
  <si>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</si>
  <si>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</si>
  <si>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</si>
  <si>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</si>
  <si>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</si>
  <si>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</si>
  <si>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</si>
  <si>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</si>
  <si>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</si>
  <si>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</si>
  <si>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</si>
  <si>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</si>
  <si>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</si>
  <si>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</si>
  <si>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</si>
  <si>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</si>
  <si>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</si>
  <si>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</si>
  <si>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</si>
  <si>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</si>
  <si>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</si>
  <si>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</si>
  <si>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</si>
  <si>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</si>
  <si>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</si>
  <si>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</si>
  <si>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</si>
  <si>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</si>
  <si>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</si>
  <si>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</si>
  <si>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</si>
  <si>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</si>
  <si>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</si>
  <si>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</si>
  <si>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</si>
  <si>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</si>
  <si>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</si>
  <si>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</si>
  <si>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</si>
  <si>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</si>
  <si>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</si>
  <si>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</si>
  <si>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</si>
  <si>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</si>
  <si>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</si>
  <si>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</si>
  <si>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</si>
  <si>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</si>
  <si>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</si>
  <si>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</si>
  <si>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</si>
  <si>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</si>
  <si>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</si>
  <si>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</si>
  <si>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</si>
  <si>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</si>
  <si>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</si>
  <si>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</si>
  <si>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</si>
  <si>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</si>
  <si>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</si>
  <si>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</si>
  <si>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</si>
  <si>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</si>
  <si>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</si>
  <si>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</si>
  <si>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</si>
  <si>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</si>
  <si>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</si>
  <si>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</si>
  <si>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</si>
  <si>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</si>
  <si>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</si>
  <si>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</si>
  <si>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</si>
  <si>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</si>
  <si>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</si>
  <si>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</si>
  <si>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</si>
  <si>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</si>
  <si>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</si>
  <si>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</si>
  <si>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</si>
  <si>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</si>
  <si>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</si>
  <si>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</si>
  <si>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</si>
  <si>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</si>
  <si>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</si>
  <si>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</si>
  <si>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</si>
  <si>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</si>
  <si>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</si>
  <si>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</si>
  <si>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</si>
  <si>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</si>
  <si>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</si>
  <si>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</si>
  <si>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</si>
  <si>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</si>
  <si>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</si>
  <si>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</si>
  <si>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</si>
  <si>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</si>
  <si>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</si>
  <si>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</si>
  <si>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</si>
  <si>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</si>
  <si>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</si>
  <si>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</si>
  <si>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</si>
  <si>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</si>
  <si>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</si>
  <si>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</si>
  <si>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</si>
  <si>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</si>
  <si>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</si>
  <si>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</si>
  <si>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</si>
  <si>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</si>
  <si>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</si>
  <si>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</si>
  <si>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</si>
  <si>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</si>
  <si>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</si>
  <si>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</si>
  <si>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</si>
  <si>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</si>
  <si>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</si>
  <si>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</si>
  <si>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</si>
  <si>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</si>
  <si>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</si>
  <si>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</si>
  <si>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</si>
  <si>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</si>
  <si>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</si>
  <si>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</si>
  <si>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</si>
  <si>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</si>
  <si>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</si>
  <si>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</si>
  <si>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</si>
  <si>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</si>
  <si>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</si>
  <si>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</si>
  <si>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</si>
  <si>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</si>
  <si>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</si>
  <si>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</si>
  <si>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</si>
  <si>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</si>
  <si>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</si>
  <si>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</si>
  <si>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</si>
  <si>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</si>
  <si>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</si>
  <si>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</si>
  <si>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</si>
  <si>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</si>
  <si>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</si>
  <si>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</si>
  <si>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</si>
  <si>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</si>
  <si>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</si>
  <si>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</si>
  <si>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</si>
  <si>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</si>
  <si>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</si>
  <si>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</si>
  <si>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</si>
  <si>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</si>
  <si>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</si>
  <si>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</si>
  <si>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</si>
  <si>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</si>
  <si>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</si>
  <si>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</si>
  <si>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</si>
  <si>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</si>
  <si>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</si>
  <si>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</si>
  <si>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</si>
  <si>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</si>
  <si>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</si>
  <si>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</si>
  <si>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</si>
  <si>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</si>
  <si>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</si>
  <si>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</si>
  <si>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</si>
  <si>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</si>
  <si>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</si>
  <si>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</si>
  <si>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</si>
  <si>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</si>
  <si>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</si>
  <si>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</si>
  <si>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</si>
  <si>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</si>
  <si>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</si>
  <si>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</si>
  <si>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</si>
  <si>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</si>
  <si>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</si>
  <si>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</si>
  <si>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</si>
  <si>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</si>
  <si>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</si>
  <si>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</si>
  <si>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</si>
  <si>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</si>
  <si>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</si>
  <si>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</si>
  <si>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</si>
  <si>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</si>
  <si>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</si>
  <si>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</si>
  <si>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</si>
  <si>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</si>
  <si>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</si>
  <si>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</si>
  <si>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</si>
  <si>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</si>
  <si>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</si>
  <si>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</si>
  <si>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</si>
  <si>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</si>
  <si>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</si>
  <si>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</si>
  <si>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</si>
  <si>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</si>
  <si>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</si>
  <si>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</si>
  <si>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</si>
  <si>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</si>
  <si>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</si>
  <si>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</si>
  <si>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</si>
  <si>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</si>
  <si>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</si>
  <si>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</si>
  <si>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</si>
  <si>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</si>
  <si>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</si>
  <si>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</si>
  <si>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</si>
  <si>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</si>
  <si>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</si>
  <si>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</si>
  <si>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</si>
  <si>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</si>
  <si>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</si>
  <si>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</si>
  <si>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</si>
  <si>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</si>
  <si>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</si>
  <si>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</si>
  <si>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</si>
  <si>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</si>
  <si>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</si>
  <si>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</si>
  <si>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</si>
  <si>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</si>
  <si>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</si>
  <si>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</si>
  <si>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</si>
  <si>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</si>
  <si>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</si>
  <si>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</si>
  <si>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</si>
  <si>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</si>
  <si>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</si>
  <si>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</si>
  <si>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</si>
  <si>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</si>
  <si>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</si>
  <si>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</si>
  <si>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</si>
  <si>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</si>
  <si>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</si>
  <si>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</si>
  <si>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</si>
  <si>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</si>
  <si>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</si>
  <si>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</si>
  <si>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</si>
  <si>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</si>
  <si>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</si>
  <si>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</si>
  <si>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</si>
  <si>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</si>
  <si>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</si>
  <si>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</si>
  <si>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</si>
  <si>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</si>
  <si>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</si>
  <si>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</si>
  <si>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</si>
  <si>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</si>
  <si>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</si>
  <si>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</si>
  <si>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</si>
  <si>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</si>
  <si>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</si>
  <si>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</si>
  <si>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</si>
  <si>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</si>
  <si>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</si>
  <si>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</si>
  <si>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</si>
  <si>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</si>
  <si>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</si>
  <si>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</si>
  <si>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</si>
  <si>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</si>
  <si>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</si>
  <si>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</si>
  <si>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</si>
  <si>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</si>
  <si>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</si>
  <si>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</si>
  <si>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</si>
  <si>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</si>
  <si>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</si>
  <si>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</si>
  <si>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</si>
  <si>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</si>
  <si>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</si>
  <si>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</si>
  <si>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</si>
  <si>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</si>
  <si>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</si>
  <si>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</si>
  <si>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</si>
  <si>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</si>
  <si>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</si>
  <si>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</si>
  <si>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</si>
  <si>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</si>
  <si>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</si>
  <si>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</si>
  <si>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</si>
  <si>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</si>
  <si>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</si>
  <si>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</si>
  <si>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</si>
  <si>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</si>
  <si>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</si>
  <si>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</si>
  <si>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</si>
  <si>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</si>
  <si>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</si>
  <si>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</si>
  <si>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</si>
  <si>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</si>
  <si>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</si>
  <si>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</si>
  <si>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</si>
  <si>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</si>
  <si>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</si>
  <si>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</si>
  <si>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</si>
  <si>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</si>
  <si>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</si>
  <si>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</si>
  <si>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</si>
  <si>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</si>
  <si>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</si>
  <si>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</si>
  <si>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</si>
  <si>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</si>
  <si>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</si>
  <si>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</si>
  <si>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</si>
  <si>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</si>
  <si>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</si>
  <si>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</si>
  <si>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</si>
  <si>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</si>
  <si>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</si>
  <si>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</si>
  <si>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</si>
  <si>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</si>
  <si>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</si>
  <si>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</si>
  <si>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</si>
  <si>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</si>
  <si>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</si>
  <si>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</si>
  <si>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</si>
  <si>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</si>
  <si>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</si>
  <si>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</si>
  <si>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</si>
  <si>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</si>
  <si>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</si>
  <si>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</si>
  <si>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</si>
  <si>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</si>
  <si>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</si>
  <si>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</si>
  <si>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</si>
  <si>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</si>
  <si>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</si>
  <si>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</si>
  <si>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</si>
  <si>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</si>
  <si>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</si>
  <si>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</si>
  <si>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</si>
  <si>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</si>
  <si>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</si>
  <si>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</si>
  <si>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</si>
  <si>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</si>
  <si>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</si>
  <si>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</si>
  <si>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</si>
  <si>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</si>
  <si>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</si>
  <si>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</si>
  <si>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</si>
  <si>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</si>
  <si>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</si>
  <si>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</si>
  <si>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</si>
  <si>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</si>
  <si>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</si>
  <si>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</si>
  <si>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</si>
  <si>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</si>
  <si>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</si>
  <si>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</si>
  <si>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</si>
  <si>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</si>
  <si>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</si>
  <si>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</si>
  <si>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</si>
  <si>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</si>
  <si>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</si>
  <si>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</si>
  <si>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</si>
  <si>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</si>
  <si>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</si>
  <si>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</si>
  <si>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</si>
  <si>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</si>
  <si>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</si>
  <si>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</si>
  <si>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</si>
  <si>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</si>
  <si>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</si>
  <si>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</si>
  <si>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</si>
  <si>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</si>
  <si>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</si>
  <si>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</si>
  <si>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</si>
  <si>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</si>
  <si>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</si>
  <si>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</si>
  <si>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</si>
  <si>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</si>
  <si>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</si>
  <si>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</si>
  <si>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</si>
  <si>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</si>
  <si>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</si>
  <si>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</si>
  <si>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</si>
  <si>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</si>
  <si>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</si>
  <si>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</si>
  <si>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</si>
  <si>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</si>
  <si>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</si>
  <si>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</si>
  <si>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</si>
  <si>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</si>
  <si>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</si>
  <si>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</si>
  <si>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</si>
  <si>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</si>
  <si>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</si>
  <si>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</si>
  <si>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</si>
  <si>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</si>
  <si>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</si>
  <si>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</si>
  <si>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</si>
  <si>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</si>
  <si>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</si>
  <si>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</si>
  <si>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</si>
  <si>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</si>
  <si>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</si>
  <si>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</si>
  <si>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</si>
  <si>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</si>
  <si>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</si>
  <si>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</si>
  <si>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</si>
  <si>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</si>
  <si>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</si>
  <si>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</si>
  <si>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</si>
  <si>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</si>
  <si>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</si>
  <si>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</si>
  <si>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</si>
  <si>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</si>
  <si>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</si>
  <si>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</si>
  <si>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</si>
  <si>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</si>
  <si>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</si>
  <si>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</si>
  <si>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</si>
  <si>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</si>
  <si>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</si>
  <si>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</si>
  <si>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</si>
  <si>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</si>
  <si>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</si>
  <si>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</si>
  <si>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</si>
  <si>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</si>
  <si>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</si>
  <si>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</si>
  <si>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</si>
  <si>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</si>
  <si>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</si>
  <si>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</si>
  <si>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</si>
  <si>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</si>
  <si>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</si>
  <si>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</si>
  <si>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</si>
  <si>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</si>
  <si>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</si>
  <si>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</si>
  <si>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</si>
  <si>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</si>
  <si>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</si>
  <si>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</si>
  <si>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</si>
  <si>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</si>
  <si>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</si>
  <si>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</si>
  <si>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</si>
  <si>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</si>
  <si>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</si>
  <si>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</si>
  <si>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</si>
  <si>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</si>
  <si>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</si>
  <si>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</si>
  <si>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</si>
  <si>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</si>
  <si>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</si>
  <si>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</si>
  <si>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</si>
  <si>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</si>
  <si>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</si>
  <si>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</si>
  <si>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</si>
  <si>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</si>
  <si>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</si>
  <si>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</si>
  <si>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</si>
  <si>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</si>
  <si>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</si>
  <si>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</si>
  <si>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</si>
  <si>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</si>
  <si>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</si>
  <si>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</si>
  <si>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</si>
  <si>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</si>
  <si>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</si>
  <si>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</si>
  <si>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</si>
  <si>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</si>
  <si>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</si>
  <si>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</si>
  <si>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</si>
  <si>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</si>
  <si>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</si>
  <si>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</si>
  <si>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</si>
  <si>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</si>
  <si>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</si>
  <si>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</si>
  <si>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</si>
  <si>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</si>
  <si>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</si>
  <si>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</si>
  <si>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</si>
  <si>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</si>
  <si>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</si>
  <si>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</si>
  <si>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</si>
  <si>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</si>
  <si>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</si>
  <si>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</si>
  <si>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</si>
  <si>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</si>
  <si>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</si>
  <si>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</si>
  <si>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</si>
  <si>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</si>
  <si>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</si>
  <si>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</si>
  <si>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</si>
  <si>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</si>
  <si>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</si>
  <si>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</si>
  <si>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</si>
  <si>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</si>
  <si>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</si>
  <si>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</si>
  <si>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</si>
  <si>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</si>
  <si>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</si>
  <si>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</si>
  <si>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</si>
  <si>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</si>
  <si>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</si>
  <si>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</si>
  <si>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</si>
  <si>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</si>
  <si>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</si>
  <si>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</si>
  <si>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</si>
  <si>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</si>
  <si>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</si>
  <si>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</si>
  <si>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</si>
  <si>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</si>
  <si>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</si>
  <si>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</si>
  <si>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</si>
  <si>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</si>
  <si>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</si>
  <si>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</si>
  <si>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</si>
  <si>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</si>
  <si>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</si>
  <si>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</si>
  <si>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</si>
  <si>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</si>
  <si>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</si>
  <si>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</si>
  <si>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</si>
  <si>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</si>
  <si>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</si>
  <si>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</si>
  <si>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</si>
  <si>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</si>
  <si>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</si>
  <si>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</si>
  <si>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</si>
  <si>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</si>
  <si>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</si>
  <si>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</si>
  <si>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</si>
  <si>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</si>
  <si>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</si>
  <si>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</si>
  <si>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</si>
  <si>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</si>
  <si>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</si>
  <si>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</si>
  <si>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</si>
  <si>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</si>
  <si>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</si>
  <si>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</si>
  <si>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</si>
  <si>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</si>
  <si>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</si>
  <si>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</si>
  <si>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</si>
  <si>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</si>
  <si>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</si>
  <si>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</si>
  <si>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</si>
  <si>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</si>
  <si>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</si>
  <si>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</si>
  <si>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</si>
  <si>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</si>
  <si>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</si>
  <si>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</si>
  <si>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</si>
  <si>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</si>
  <si>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</si>
  <si>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</si>
  <si>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</si>
  <si>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</si>
  <si>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</si>
  <si>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</si>
  <si>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</si>
  <si>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</si>
  <si>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</si>
  <si>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</si>
  <si>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</si>
  <si>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</si>
  <si>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</si>
  <si>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</si>
  <si>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</si>
  <si>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</si>
  <si>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</si>
  <si>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</si>
  <si>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</si>
  <si>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</si>
  <si>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</si>
  <si>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</si>
  <si>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</si>
  <si>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</si>
  <si>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</si>
  <si>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</si>
  <si>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</si>
  <si>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</si>
  <si>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</si>
  <si>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</si>
  <si>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</si>
  <si>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</si>
  <si>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</si>
  <si>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</si>
  <si>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</si>
  <si>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</si>
  <si>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</si>
  <si>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</si>
  <si>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</si>
  <si>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</si>
  <si>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</si>
  <si>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</si>
  <si>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</si>
  <si>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</si>
  <si>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</si>
  <si>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</si>
  <si>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</si>
  <si>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</si>
  <si>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</si>
  <si>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</si>
  <si>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</si>
  <si>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</si>
  <si>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</si>
  <si>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</si>
  <si>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</si>
  <si>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</si>
  <si>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</si>
  <si>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</si>
  <si>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</si>
  <si>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</si>
  <si>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</si>
  <si>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</si>
  <si>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</si>
  <si>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</si>
  <si>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</si>
  <si>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</si>
  <si>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</si>
  <si>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</si>
  <si>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</si>
  <si>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</si>
  <si>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</si>
  <si>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</si>
  <si>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</si>
  <si>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</si>
  <si>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</si>
  <si>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</si>
  <si>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</si>
  <si>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</si>
  <si>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</si>
  <si>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</si>
  <si>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</si>
  <si>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</si>
  <si>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</si>
  <si>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</si>
  <si>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</si>
  <si>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</si>
  <si>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</si>
  <si>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</si>
  <si>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</si>
  <si>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</si>
  <si>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</si>
  <si>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</si>
  <si>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</si>
  <si>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</si>
  <si>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</si>
  <si>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</si>
  <si>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</si>
  <si>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</si>
  <si>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</si>
  <si>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</si>
  <si>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</si>
  <si>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</si>
  <si>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</si>
  <si>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</si>
  <si>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</si>
  <si>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</si>
  <si>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</si>
  <si>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</si>
  <si>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</si>
  <si>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</si>
  <si>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</si>
  <si>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</si>
  <si>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</si>
  <si>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</si>
  <si>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</si>
  <si>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</si>
  <si>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</si>
  <si>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</si>
  <si>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</si>
  <si>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</si>
  <si>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</si>
  <si>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</si>
  <si>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</si>
  <si>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</si>
  <si>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</si>
  <si>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</si>
  <si>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</si>
  <si>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</si>
  <si>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</si>
  <si>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</si>
  <si>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</si>
  <si>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</si>
  <si>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</si>
  <si>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</si>
  <si>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</si>
  <si>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</si>
  <si>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</si>
  <si>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</si>
  <si>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</si>
  <si>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</si>
  <si>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</si>
  <si>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</si>
  <si>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</si>
  <si>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</si>
  <si>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</si>
  <si>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</si>
  <si>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</si>
  <si>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</si>
  <si>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</si>
  <si>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</si>
  <si>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</si>
  <si>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</si>
  <si>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</si>
  <si>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</si>
  <si>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</si>
  <si>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</si>
  <si>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</si>
  <si>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</si>
  <si>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</si>
  <si>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</si>
  <si>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</si>
  <si>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</si>
  <si>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</si>
  <si>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</si>
  <si>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</si>
  <si>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</si>
  <si>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</si>
  <si>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</si>
  <si>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</si>
  <si>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</si>
  <si>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</si>
  <si>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</si>
  <si>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</si>
  <si>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</si>
  <si>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</si>
  <si>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</si>
  <si>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</si>
  <si>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</si>
  <si>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</si>
  <si>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</si>
  <si>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</si>
  <si>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</si>
  <si>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</si>
  <si>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</si>
  <si>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</si>
  <si>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</si>
  <si>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</si>
  <si>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</si>
  <si>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</si>
  <si>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</si>
  <si>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</si>
  <si>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</si>
  <si>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</si>
  <si>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</si>
  <si>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</si>
  <si>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</si>
  <si>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</si>
  <si>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</si>
  <si>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</si>
  <si>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</si>
  <si>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</si>
  <si>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</si>
  <si>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</si>
  <si>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</si>
  <si>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</si>
  <si>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</si>
  <si>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</si>
  <si>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</si>
  <si>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</si>
  <si>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</si>
  <si>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</si>
  <si>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</si>
  <si>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</si>
  <si>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</si>
  <si>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</si>
  <si>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</si>
  <si>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</si>
  <si>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</si>
  <si>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</si>
  <si>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</si>
  <si>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</si>
  <si>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</si>
  <si>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</si>
  <si>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</si>
  <si>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</si>
  <si>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</si>
  <si>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</si>
  <si>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</si>
  <si>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</si>
  <si>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</si>
  <si>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</si>
  <si>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</si>
  <si>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</si>
  <si>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</si>
  <si>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</si>
  <si>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</si>
  <si>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</si>
  <si>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</si>
  <si>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</si>
  <si>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</si>
  <si>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</si>
  <si>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</si>
  <si>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</si>
  <si>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</si>
  <si>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</si>
  <si>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</si>
  <si>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</si>
  <si>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</si>
  <si>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</si>
  <si>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</si>
  <si>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</si>
  <si>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</si>
  <si>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</si>
  <si>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</si>
  <si>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</si>
  <si>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</si>
  <si>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</si>
  <si>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</si>
  <si>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</si>
  <si>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</si>
  <si>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</si>
  <si>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</si>
  <si>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</si>
  <si>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</si>
  <si>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</si>
  <si>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</si>
  <si>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</si>
  <si>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</si>
  <si>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</si>
  <si>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</si>
  <si>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</si>
  <si>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</si>
  <si>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</si>
  <si>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</si>
  <si>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</si>
  <si>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</si>
  <si>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</si>
  <si>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</si>
  <si>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</si>
  <si>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</si>
  <si>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</si>
  <si>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</si>
  <si>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</si>
  <si>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</si>
  <si>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</si>
  <si>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</si>
  <si>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</si>
  <si>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</si>
  <si>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</si>
  <si>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</si>
  <si>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</si>
  <si>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</si>
  <si>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</si>
  <si>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</si>
  <si>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</si>
  <si>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</si>
  <si>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</si>
  <si>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</si>
  <si>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</si>
  <si>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</si>
  <si>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</si>
  <si>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</si>
  <si>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</si>
  <si>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</si>
  <si>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</si>
  <si>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</si>
  <si>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</si>
  <si>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</si>
  <si>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</si>
  <si>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</si>
  <si>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</si>
  <si>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</si>
  <si>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</si>
  <si>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</si>
  <si>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</si>
  <si>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</si>
  <si>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</si>
  <si>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</si>
  <si>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</si>
  <si>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</si>
  <si>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</si>
  <si>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</si>
  <si>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</si>
  <si>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</si>
  <si>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</si>
  <si>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</si>
  <si>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</si>
  <si>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</si>
  <si>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</si>
  <si>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</si>
  <si>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</si>
  <si>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</si>
  <si>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</si>
  <si>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</si>
  <si>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</si>
  <si>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</si>
  <si>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</si>
  <si>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</si>
  <si>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</si>
  <si>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</si>
  <si>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</si>
  <si>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</si>
  <si>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</si>
  <si>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</si>
  <si>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</si>
  <si>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</si>
  <si>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</si>
  <si>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</si>
  <si>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</si>
  <si>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</si>
  <si>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</si>
  <si>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</si>
  <si>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</si>
  <si>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</si>
  <si>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</si>
  <si>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</si>
  <si>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</si>
  <si>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</si>
  <si>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</si>
  <si>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</si>
  <si>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</si>
  <si>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</si>
  <si>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</si>
  <si>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</si>
  <si>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</si>
  <si>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</si>
  <si>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</si>
  <si>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</si>
  <si>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</si>
  <si>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</si>
  <si>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</si>
  <si>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</si>
  <si>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</si>
  <si>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</si>
  <si>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</si>
  <si>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</si>
  <si>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</si>
  <si>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</si>
  <si>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</si>
  <si>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</si>
  <si>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</si>
  <si>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</si>
  <si>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</si>
  <si>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</si>
  <si>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</si>
  <si>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</si>
  <si>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</si>
  <si>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</si>
  <si>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</si>
  <si>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</si>
  <si>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</si>
  <si>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</si>
  <si>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</si>
  <si>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</si>
  <si>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</si>
  <si>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</si>
  <si>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</si>
  <si>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</si>
  <si>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</si>
  <si>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</si>
  <si>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</si>
  <si>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</si>
  <si>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</si>
  <si>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</si>
  <si>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</si>
  <si>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</si>
  <si>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</si>
  <si>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</si>
  <si>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</si>
  <si>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</si>
  <si>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</si>
  <si>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</si>
  <si>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</si>
  <si>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</si>
  <si>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</si>
  <si>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</si>
  <si>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</si>
  <si>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</si>
  <si>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</si>
  <si>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</si>
  <si>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</si>
  <si>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</si>
  <si>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</si>
  <si>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</si>
  <si>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</si>
  <si>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</si>
  <si>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</si>
  <si>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</si>
  <si>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</si>
  <si>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</si>
  <si>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</si>
  <si>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</si>
  <si>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</si>
  <si>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</si>
  <si>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</si>
  <si>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</si>
  <si>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</si>
  <si>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</si>
  <si>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</si>
  <si>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</si>
  <si>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</si>
  <si>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</si>
  <si>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</si>
  <si>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</si>
  <si>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</si>
  <si>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</si>
  <si>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</si>
  <si>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</si>
  <si>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</si>
  <si>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</si>
  <si>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</si>
  <si>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</si>
  <si>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</si>
  <si>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</si>
  <si>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</si>
  <si>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</si>
  <si>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</si>
  <si>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</si>
  <si>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</si>
  <si>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</si>
  <si>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</si>
  <si>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</si>
  <si>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</si>
  <si>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</si>
  <si>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</si>
  <si>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</si>
  <si>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</si>
  <si>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</si>
  <si>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</si>
  <si>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</si>
  <si>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</si>
  <si>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</si>
  <si>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</si>
  <si>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</si>
  <si>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</si>
  <si>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</si>
  <si>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</si>
  <si>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</si>
  <si>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</si>
  <si>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</si>
  <si>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</si>
  <si>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</si>
  <si>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</si>
  <si>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</si>
  <si>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</si>
  <si>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</si>
  <si>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</si>
  <si>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</si>
  <si>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</si>
  <si>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</si>
  <si>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</si>
  <si>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</si>
  <si>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</si>
  <si>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</si>
  <si>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</si>
  <si>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</si>
  <si>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</si>
  <si>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</si>
  <si>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</si>
  <si>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</si>
  <si>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</si>
  <si>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</si>
  <si>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</si>
  <si>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</si>
  <si>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</si>
  <si>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</si>
  <si>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</si>
  <si>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</si>
  <si>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</si>
  <si>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</si>
  <si>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</si>
  <si>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</si>
  <si>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</si>
  <si>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</si>
  <si>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</si>
  <si>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</si>
  <si>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</si>
  <si>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</si>
  <si>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</si>
  <si>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</si>
  <si>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</si>
  <si>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</si>
  <si>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</si>
  <si>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</si>
  <si>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</si>
  <si>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</si>
  <si>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</si>
  <si>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</si>
  <si>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</si>
  <si>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</si>
  <si>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</si>
  <si>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</si>
  <si>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</si>
  <si>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</si>
  <si>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</si>
  <si>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</si>
  <si>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</si>
  <si>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</si>
  <si>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</si>
  <si>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</si>
  <si>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</si>
  <si>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</si>
  <si>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</si>
  <si>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</si>
  <si>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</si>
  <si>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</si>
  <si>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</si>
  <si>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</si>
  <si>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</si>
  <si>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</si>
  <si>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</si>
  <si>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</si>
  <si>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</si>
  <si>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</si>
  <si>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</si>
  <si>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</si>
  <si>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</si>
  <si>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</si>
  <si>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</si>
  <si>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</si>
  <si>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</si>
  <si>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</si>
  <si>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</si>
  <si>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</si>
  <si>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</si>
  <si>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</si>
  <si>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</si>
  <si>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</si>
  <si>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</si>
  <si>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</si>
  <si>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</si>
  <si>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</si>
  <si>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</si>
  <si>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</si>
  <si>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</si>
  <si>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</si>
  <si>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</si>
  <si>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</si>
  <si>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</si>
  <si>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</si>
  <si>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</si>
  <si>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</si>
  <si>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</si>
  <si>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</si>
  <si>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</si>
  <si>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</si>
  <si>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</si>
  <si>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</si>
  <si>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</si>
  <si>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</si>
  <si>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</si>
  <si>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</si>
  <si>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</si>
  <si>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</si>
  <si>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</si>
  <si>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</si>
  <si>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</si>
  <si>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</si>
  <si>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</si>
  <si>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</si>
  <si>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</si>
  <si>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</si>
  <si>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</si>
  <si>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</si>
  <si>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</si>
  <si>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</si>
  <si>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</si>
  <si>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</si>
  <si>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</si>
  <si>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</si>
  <si>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</si>
  <si>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</si>
  <si>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</si>
  <si>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</si>
  <si>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</si>
  <si>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</si>
  <si>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</si>
  <si>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</si>
  <si>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</si>
  <si>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</si>
  <si>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</si>
  <si>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</si>
  <si>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</si>
  <si>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</si>
  <si>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</si>
  <si>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</si>
  <si>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</si>
  <si>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</si>
  <si>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</si>
  <si>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</si>
  <si>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</si>
  <si>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</si>
  <si>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</si>
  <si>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</si>
  <si>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</si>
  <si>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</si>
  <si>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</si>
  <si>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</si>
  <si>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</si>
  <si>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</si>
  <si>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</si>
  <si>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</si>
  <si>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</si>
  <si>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</si>
  <si>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</si>
  <si>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</si>
  <si>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</si>
  <si>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</si>
  <si>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</si>
  <si>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</si>
  <si>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</si>
  <si>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</si>
  <si>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</si>
  <si>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</si>
  <si>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</si>
  <si>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</si>
  <si>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</si>
  <si>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</si>
  <si>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</si>
  <si>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</si>
  <si>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</si>
  <si>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</si>
  <si>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</si>
  <si>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</si>
  <si>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</si>
  <si>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</si>
  <si>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</si>
  <si>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</si>
  <si>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</si>
  <si>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</si>
  <si>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</si>
  <si>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</si>
  <si>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</si>
  <si>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</si>
  <si>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</si>
  <si>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</si>
  <si>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</si>
  <si>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</si>
  <si>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</si>
  <si>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</si>
  <si>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</si>
  <si>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</si>
  <si>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</si>
  <si>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</si>
  <si>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</si>
  <si>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</si>
  <si>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</si>
  <si>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</si>
  <si>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</si>
  <si>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</si>
  <si>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</si>
  <si>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</si>
  <si>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</si>
  <si>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</si>
  <si>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</si>
  <si>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</si>
  <si>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</si>
  <si>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</si>
  <si>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</si>
  <si>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</si>
  <si>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</si>
  <si>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</si>
  <si>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</si>
  <si>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</si>
  <si>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</si>
  <si>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</si>
  <si>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</si>
  <si>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</si>
  <si>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</si>
  <si>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</si>
  <si>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</si>
  <si>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</si>
  <si>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</si>
  <si>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</si>
  <si>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</si>
  <si>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</si>
  <si>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</si>
  <si>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</si>
  <si>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</si>
  <si>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</si>
  <si>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</si>
  <si>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</si>
  <si>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</si>
  <si>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</si>
  <si>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</si>
  <si>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</si>
  <si>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</si>
  <si>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</si>
  <si>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</si>
  <si>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</si>
  <si>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</si>
  <si>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</si>
  <si>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</si>
  <si>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</si>
  <si>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</si>
  <si>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</si>
  <si>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</si>
  <si>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</si>
  <si>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</si>
  <si>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</si>
  <si>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</si>
  <si>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</si>
  <si>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</si>
  <si>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</si>
  <si>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</si>
  <si>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</si>
  <si>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</si>
  <si>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</si>
  <si>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</si>
  <si>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</si>
  <si>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</si>
  <si>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</si>
  <si>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</si>
  <si>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</si>
  <si>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</si>
  <si>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</si>
  <si>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</si>
  <si>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</si>
  <si>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</si>
  <si>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</si>
  <si>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</si>
  <si>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</si>
  <si>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</si>
  <si>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</si>
  <si>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</si>
  <si>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</si>
  <si>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</si>
  <si>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</si>
  <si>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</si>
  <si>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</si>
  <si>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</si>
  <si>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</si>
  <si>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</si>
  <si>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</si>
  <si>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</si>
  <si>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</si>
  <si>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</si>
  <si>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</si>
  <si>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</si>
  <si>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</si>
  <si>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</si>
  <si>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</si>
  <si>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</si>
  <si>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</si>
  <si>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</si>
  <si>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</si>
  <si>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</si>
  <si>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</si>
  <si>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</si>
  <si>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</si>
  <si>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</si>
  <si>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</si>
  <si>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</si>
  <si>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</si>
  <si>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</si>
  <si>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</si>
  <si>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</si>
  <si>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</si>
  <si>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</si>
  <si>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</si>
  <si>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</si>
  <si>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</si>
  <si>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</si>
  <si>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</si>
  <si>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</si>
  <si>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</si>
  <si>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</si>
  <si>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</si>
  <si>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</si>
  <si>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</si>
  <si>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</si>
  <si>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</si>
  <si>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</si>
  <si>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</si>
  <si>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</si>
  <si>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</si>
  <si>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</si>
  <si>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</si>
  <si>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</si>
  <si>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</si>
  <si>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</si>
  <si>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</si>
  <si>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</si>
  <si>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</si>
  <si>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</si>
  <si>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</si>
  <si>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</si>
  <si>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</si>
  <si>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</si>
  <si>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</si>
  <si>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</si>
  <si>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</si>
  <si>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</si>
  <si>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</si>
  <si>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</si>
  <si>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</si>
  <si>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</si>
  <si>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</si>
  <si>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</si>
  <si>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</si>
  <si>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</si>
  <si>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</si>
  <si>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</si>
  <si>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</si>
  <si>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</si>
  <si>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</si>
  <si>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</si>
  <si>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</si>
  <si>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</si>
  <si>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</si>
  <si>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</si>
  <si>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</si>
  <si>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</si>
  <si>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</si>
  <si>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</si>
  <si>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</si>
  <si>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</si>
  <si>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</si>
  <si>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</si>
  <si>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</si>
  <si>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</si>
  <si>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</si>
  <si>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</si>
  <si>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</si>
  <si>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</si>
  <si>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</si>
  <si>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</si>
  <si>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</si>
  <si>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</si>
  <si>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</si>
  <si>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</si>
  <si>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</si>
  <si>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</si>
  <si>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</si>
  <si>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</si>
  <si>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</si>
  <si>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</si>
  <si>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</si>
  <si>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</si>
  <si>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</si>
  <si>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</si>
  <si>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</si>
  <si>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</si>
  <si>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</si>
  <si>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</si>
  <si>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</si>
  <si>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</si>
  <si>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</si>
  <si>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</si>
  <si>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</si>
  <si>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</si>
  <si>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</si>
  <si>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</si>
  <si>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</si>
  <si>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</si>
  <si>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</si>
  <si>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</si>
  <si>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</si>
  <si>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</si>
  <si>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</si>
  <si>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</si>
  <si>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</si>
  <si>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</si>
  <si>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</si>
  <si>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</si>
  <si>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</si>
  <si>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</si>
  <si>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</si>
  <si>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</si>
  <si>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</si>
  <si>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</si>
  <si>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</si>
  <si>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</si>
  <si>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</si>
  <si>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</si>
  <si>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</si>
  <si>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</si>
  <si>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</si>
  <si>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</si>
  <si>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</si>
  <si>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</si>
  <si>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</si>
  <si>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</si>
  <si>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</si>
  <si>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</si>
  <si>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</si>
  <si>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</si>
  <si>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</si>
  <si>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</si>
  <si>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</si>
  <si>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</si>
  <si>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</si>
  <si>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</si>
  <si>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</si>
  <si>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</si>
  <si>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</si>
  <si>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</si>
  <si>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</si>
  <si>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</si>
  <si>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</si>
  <si>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</si>
  <si>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</si>
  <si>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</si>
  <si>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</si>
  <si>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</si>
  <si>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</si>
  <si>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</si>
  <si>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</si>
  <si>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</si>
  <si>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</si>
  <si>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</si>
  <si>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</si>
  <si>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</si>
  <si>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</si>
  <si>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</si>
  <si>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</si>
  <si>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</si>
  <si>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</si>
  <si>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</si>
  <si>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</si>
  <si>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</si>
  <si>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</si>
  <si>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</si>
  <si>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</si>
  <si>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</si>
  <si>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</si>
  <si>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</si>
  <si>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</si>
  <si>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</si>
  <si>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</si>
  <si>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</si>
  <si>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</si>
  <si>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</si>
  <si>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</si>
  <si>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</si>
  <si>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</si>
  <si>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</si>
  <si>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</si>
  <si>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</si>
  <si>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</si>
  <si>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</si>
  <si>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</si>
  <si>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</si>
  <si>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</si>
  <si>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</si>
  <si>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</si>
  <si>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</si>
  <si>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</si>
  <si>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</si>
  <si>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</si>
  <si>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</si>
  <si>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</si>
  <si>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</si>
  <si>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</si>
  <si>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</si>
  <si>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</si>
  <si>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</si>
  <si>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</si>
  <si>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</si>
  <si>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</si>
  <si>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</si>
  <si>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</si>
  <si>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</si>
  <si>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</si>
  <si>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</si>
  <si>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</si>
  <si>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</si>
  <si>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</si>
  <si>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</si>
  <si>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</si>
  <si>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</si>
  <si>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</si>
  <si>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</si>
  <si>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</si>
  <si>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</si>
  <si>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</si>
  <si>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</si>
  <si>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</si>
  <si>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</si>
  <si>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</si>
  <si>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</si>
  <si>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</si>
  <si>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</si>
  <si>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</si>
  <si>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</si>
  <si>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</si>
  <si>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</si>
  <si>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</si>
  <si>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</si>
  <si>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</si>
  <si>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</si>
  <si>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</si>
  <si>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</si>
  <si>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</si>
  <si>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</si>
  <si>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</si>
  <si>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</si>
  <si>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</si>
  <si>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</si>
  <si>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</si>
  <si>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</si>
  <si>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</si>
  <si>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</si>
  <si>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</si>
  <si>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</si>
  <si>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</si>
  <si>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</si>
  <si>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</si>
  <si>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</si>
  <si>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</si>
  <si>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</si>
  <si>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</si>
  <si>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</si>
  <si>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</si>
  <si>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</si>
  <si>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</si>
  <si>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</si>
  <si>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</si>
  <si>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</si>
  <si>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</si>
  <si>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</si>
  <si>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</si>
  <si>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</si>
  <si>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</si>
  <si>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</si>
  <si>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</si>
  <si>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</si>
  <si>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</si>
  <si>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</si>
  <si>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</si>
  <si>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</si>
  <si>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</si>
  <si>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</si>
  <si>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</si>
  <si>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</si>
  <si>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</si>
  <si>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</si>
  <si>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</si>
  <si>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</si>
  <si>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</si>
  <si>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</si>
  <si>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</si>
  <si>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</si>
  <si>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</si>
  <si>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</si>
  <si>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</si>
  <si>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</si>
  <si>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</si>
  <si>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</si>
  <si>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</si>
  <si>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</si>
  <si>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</si>
  <si>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</si>
  <si>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</si>
  <si>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</si>
  <si>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</si>
  <si>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</si>
  <si>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</si>
  <si>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</si>
  <si>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</si>
  <si>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</si>
  <si>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</si>
  <si>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</si>
  <si>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</si>
  <si>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</si>
  <si>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</si>
  <si>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</si>
  <si>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</si>
  <si>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</si>
  <si>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</si>
  <si>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</si>
  <si>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</si>
  <si>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</si>
  <si>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</si>
  <si>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</si>
  <si>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</si>
  <si>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</si>
  <si>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</si>
  <si>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</si>
  <si>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</si>
  <si>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</si>
  <si>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</si>
  <si>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</si>
  <si>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</si>
  <si>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</si>
  <si>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</si>
  <si>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</si>
  <si>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</si>
  <si>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</si>
  <si>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</si>
  <si>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</si>
  <si>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</si>
  <si>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</si>
  <si>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</si>
  <si>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</si>
  <si>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</si>
  <si>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</si>
  <si>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</si>
  <si>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</si>
  <si>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</si>
  <si>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</si>
  <si>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</si>
  <si>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</si>
  <si>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</si>
  <si>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</si>
  <si>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</si>
  <si>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</si>
  <si>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</si>
  <si>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</si>
  <si>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</si>
  <si>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</si>
  <si>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</si>
  <si>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</si>
  <si>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</si>
  <si>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</si>
  <si>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</si>
  <si>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</si>
  <si>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</si>
  <si>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</si>
  <si>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</si>
  <si>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</si>
  <si>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</si>
  <si>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</si>
  <si>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</si>
  <si>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</si>
  <si>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</si>
  <si>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</si>
  <si>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</si>
  <si>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</si>
  <si>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</si>
  <si>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</si>
  <si>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</si>
  <si>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</si>
  <si>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</si>
  <si>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</si>
  <si>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</si>
  <si>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</si>
  <si>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</si>
  <si>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</si>
  <si>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</si>
  <si>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</si>
  <si>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</si>
  <si>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</si>
  <si>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</si>
  <si>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</si>
  <si>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</si>
  <si>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</si>
  <si>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</si>
  <si>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</si>
  <si>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</si>
  <si>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</si>
  <si>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</si>
  <si>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</si>
  <si>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</si>
  <si>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</si>
  <si>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</si>
  <si>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</si>
  <si>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</si>
  <si>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</si>
  <si>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</si>
  <si>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</si>
  <si>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</si>
  <si>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</si>
  <si>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</si>
  <si>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</si>
  <si>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</si>
  <si>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</si>
  <si>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</si>
  <si>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</si>
  <si>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</si>
  <si>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</si>
  <si>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</si>
  <si>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</si>
  <si>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</si>
  <si>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</si>
  <si>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</si>
  <si>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</si>
  <si>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</si>
  <si>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</si>
  <si>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</si>
  <si>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</si>
  <si>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</si>
  <si>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</si>
  <si>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</si>
  <si>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</si>
  <si>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</si>
  <si>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</si>
  <si>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</si>
  <si>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</si>
  <si>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</si>
  <si>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</si>
  <si>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</si>
  <si>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</si>
  <si>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</si>
  <si>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</si>
  <si>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</si>
  <si>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</si>
  <si>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</si>
  <si>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</si>
  <si>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</si>
  <si>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</si>
  <si>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</si>
  <si>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</si>
  <si>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</si>
  <si>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</si>
  <si>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</si>
  <si>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</si>
  <si>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</si>
  <si>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</si>
  <si>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</si>
  <si>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</si>
  <si>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</si>
  <si>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</si>
  <si>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</si>
  <si>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</si>
  <si>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</si>
  <si>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</si>
  <si>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</si>
  <si>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</si>
  <si>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</si>
  <si>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</si>
  <si>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</si>
  <si>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</si>
  <si>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</si>
  <si>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</si>
  <si>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</si>
  <si>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</si>
  <si>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</si>
  <si>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</si>
  <si>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</si>
  <si>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</si>
  <si>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</si>
  <si>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</si>
  <si>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</si>
  <si>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</si>
  <si>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</si>
  <si>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</si>
  <si>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</si>
  <si>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</si>
  <si>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</si>
  <si>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</si>
  <si>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</si>
  <si>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</si>
  <si>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</si>
  <si>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</si>
  <si>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</si>
  <si>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</si>
  <si>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</si>
  <si>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</si>
  <si>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</si>
  <si>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</si>
  <si>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</si>
  <si>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</si>
  <si>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</si>
  <si>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</si>
  <si>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</si>
  <si>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</si>
  <si>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</si>
  <si>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</si>
  <si>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</si>
  <si>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</si>
  <si>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</si>
  <si>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</si>
  <si>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</si>
  <si>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</si>
  <si>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</si>
  <si>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</si>
  <si>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</si>
  <si>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</si>
  <si>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</si>
  <si>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</si>
  <si>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</si>
  <si>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</si>
  <si>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</si>
  <si>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</si>
  <si>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</si>
  <si>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</si>
  <si>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</si>
  <si>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</si>
  <si>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</si>
  <si>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</si>
  <si>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</si>
  <si>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</si>
  <si>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</si>
  <si>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</si>
  <si>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</si>
  <si>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</si>
  <si>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</si>
  <si>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</si>
  <si>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</si>
  <si>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</si>
  <si>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</si>
  <si>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</si>
  <si>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</si>
  <si>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</si>
  <si>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</si>
  <si>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</si>
  <si>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</si>
  <si>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</si>
  <si>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</si>
  <si>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</si>
  <si>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</si>
  <si>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</si>
  <si>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</si>
  <si>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</si>
  <si>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</si>
  <si>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</si>
  <si>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</si>
  <si>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</si>
  <si>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</si>
  <si>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</si>
  <si>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</si>
  <si>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</si>
  <si>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</si>
  <si>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</si>
  <si>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</si>
  <si>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</si>
  <si>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</si>
  <si>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</si>
  <si>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</si>
  <si>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</si>
  <si>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</si>
  <si>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</si>
  <si>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</si>
  <si>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</si>
  <si>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</si>
  <si>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</si>
  <si>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</si>
  <si>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</si>
  <si>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</si>
  <si>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</si>
  <si>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</si>
  <si>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</si>
  <si>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</si>
  <si>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</si>
  <si>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</si>
  <si>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</si>
  <si>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</si>
  <si>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</si>
  <si>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</si>
  <si>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</si>
  <si>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</si>
  <si>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</si>
  <si>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</si>
  <si>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</si>
  <si>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</si>
  <si>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</si>
  <si>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</si>
  <si>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</si>
  <si>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</si>
  <si>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</si>
  <si>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</si>
  <si>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</si>
  <si>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</si>
  <si>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</si>
  <si>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</si>
  <si>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</si>
  <si>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</si>
  <si>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</si>
  <si>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</si>
  <si>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</si>
  <si>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</si>
  <si>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</si>
  <si>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</si>
  <si>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</si>
  <si>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</si>
  <si>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</si>
  <si>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</si>
  <si>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</si>
  <si>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</si>
  <si>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</si>
  <si>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</si>
  <si>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</si>
  <si>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</si>
  <si>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</si>
  <si>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</si>
  <si>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</si>
  <si>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</si>
  <si>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</si>
  <si>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</si>
  <si>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</si>
  <si>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</si>
  <si>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</si>
  <si>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</si>
  <si>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</si>
  <si>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</si>
  <si>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</si>
  <si>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</si>
  <si>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</si>
  <si>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</si>
  <si>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</si>
  <si>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</si>
  <si>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</si>
  <si>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</si>
  <si>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</si>
  <si>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</si>
  <si>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</si>
  <si>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</si>
  <si>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</si>
  <si>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</si>
  <si>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</si>
  <si>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</si>
  <si>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</si>
  <si>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</si>
  <si>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</si>
  <si>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</si>
  <si>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</si>
  <si>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</si>
  <si>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</si>
  <si>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</si>
  <si>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</si>
  <si>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</si>
  <si>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</si>
  <si>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</si>
  <si>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</si>
  <si>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</si>
  <si>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</si>
  <si>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</si>
  <si>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</si>
  <si>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</si>
  <si>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</si>
  <si>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</si>
  <si>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</si>
  <si>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</si>
  <si>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</si>
  <si>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</si>
  <si>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</si>
  <si>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</si>
  <si>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</si>
  <si>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</si>
  <si>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</si>
  <si>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</si>
  <si>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</si>
  <si>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</si>
  <si>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</si>
  <si>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</si>
  <si>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</si>
  <si>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</si>
  <si>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</si>
  <si>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</si>
  <si>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</si>
  <si>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</si>
  <si>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</si>
  <si>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</si>
  <si>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</si>
  <si>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</si>
  <si>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</si>
  <si>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</si>
  <si>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</si>
  <si>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</si>
  <si>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</si>
  <si>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</si>
  <si>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</si>
  <si>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</si>
  <si>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</si>
  <si>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</si>
  <si>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</si>
  <si>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</si>
  <si>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</si>
  <si>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</si>
  <si>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</si>
  <si>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</si>
  <si>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</si>
  <si>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</si>
  <si>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</si>
  <si>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</si>
  <si>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</si>
  <si>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</si>
  <si>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</si>
  <si>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</si>
  <si>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</si>
  <si>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</si>
  <si>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</si>
  <si>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</si>
  <si>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</si>
  <si>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</si>
  <si>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</si>
  <si>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</si>
  <si>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</si>
  <si>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</si>
  <si>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</si>
  <si>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</si>
  <si>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</si>
  <si>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</si>
  <si>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</si>
  <si>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</si>
  <si>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</si>
  <si>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</si>
  <si>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</si>
  <si>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</si>
  <si>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</si>
  <si>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</si>
  <si>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</si>
  <si>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</si>
  <si>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</si>
  <si>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</si>
  <si>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</si>
  <si>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</si>
  <si>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</si>
  <si>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</si>
  <si>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</si>
  <si>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</si>
  <si>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</si>
  <si>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</si>
  <si>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</si>
  <si>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</si>
  <si>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</si>
  <si>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</si>
  <si>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</si>
  <si>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</si>
  <si>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</si>
  <si>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</si>
  <si>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</si>
  <si>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</si>
  <si>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</si>
  <si>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</si>
  <si>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</si>
  <si>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</si>
  <si>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</si>
  <si>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</si>
  <si>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</si>
  <si>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</si>
  <si>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</si>
  <si>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</si>
  <si>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</si>
  <si>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</si>
  <si>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</si>
  <si>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</si>
  <si>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</si>
  <si>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</si>
  <si>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</si>
  <si>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</si>
  <si>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</si>
  <si>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</si>
  <si>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</si>
  <si>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</si>
  <si>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</si>
  <si>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D6-7p Ca, D4-5r, D3p, D1-2r, C1-2r</t>
  </si>
  <si>
    <t>H1-3r</t>
  </si>
  <si>
    <t>Vinca minor</t>
  </si>
  <si>
    <t>G1-3b</t>
  </si>
  <si>
    <t>Unknown grass 1</t>
  </si>
  <si>
    <t>Elymus sp.</t>
  </si>
  <si>
    <t>LHHL42022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</si>
</sst>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33" xfId="0" applyFont="1" applyBorder="1" applyAlignment="1">
      <alignment vertical="center"/>
    </xf>
    <xf numFmtId="0" fontId="44" fillId="0" borderId="33" xfId="0" applyFont="1" applyBorder="1" applyAlignment="1">
      <alignment vertical="center" wrapText="1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028" zoomScale="70" zoomScaleNormal="70" workbookViewId="0">
      <selection activeCell="A1045" sqref="A1045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2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5449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4.25" thickTop="1" thickBot="1" x14ac:dyDescent="0.25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ht="13.5" thickBot="1" x14ac:dyDescent="0.25">
      <c r="A12" s="123" t="s">
        <v>3536</v>
      </c>
      <c r="B12" s="44" t="str">
        <f>IF(LEN(VLOOKUP(A12,'Species List'!$A:$G,2,FALSE))=0,"",VLOOKUP(A12,'Species List'!$A:$G,2,FALSE))</f>
        <v>quaking aspen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[FAC]</v>
      </c>
      <c r="H12" s="44">
        <f>VLOOKUP(A12,'Species List'!$A:$G,7,FALSE)</f>
        <v>0</v>
      </c>
      <c r="J12" s="9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3" si="1">VALUE(L12)</f>
        <v>37.5</v>
      </c>
      <c r="N12" s="109">
        <f t="shared" ref="N12:N77" si="2">L12/$L$153</f>
        <v>0.26978417266187049</v>
      </c>
      <c r="O12" s="109">
        <f t="shared" ref="O12:O13" si="3">D12*N12</f>
        <v>0.53956834532374098</v>
      </c>
    </row>
    <row r="13" spans="1:15" ht="13.5" thickBot="1" x14ac:dyDescent="0.25">
      <c r="A13" s="123" t="s">
        <v>3654</v>
      </c>
      <c r="B13" s="44" t="str">
        <f>IF(LEN(VLOOKUP(A13,'Species List'!$A:$G,2,FALSE))=0,"",VLOOKUP(A13,'Species List'!$A:$G,2,FALSE))</f>
        <v>black cherry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[FACU]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0.1079136690647482</v>
      </c>
      <c r="O13" s="109">
        <f t="shared" si="3"/>
        <v>0.43165467625899279</v>
      </c>
    </row>
    <row r="14" spans="1:15" ht="13.5" thickBot="1" x14ac:dyDescent="0.25">
      <c r="A14" s="123" t="s">
        <v>3696</v>
      </c>
      <c r="B14" s="44" t="str">
        <f>IF(LEN(VLOOKUP(A14,'Species List'!$A:$G,2,FALSE))=0,"",VLOOKUP(A14,'Species List'!$A:$G,2,FALSE))</f>
        <v>northern red oak</v>
      </c>
      <c r="C14" s="44">
        <f>IF(LEN(VLOOKUP(A14,'Species List'!$A:$G,3,FALSE))=0,"",VLOOKUP(A14,'Species List'!$A:$G,3,FALSE))</f>
        <v>5</v>
      </c>
      <c r="D14" s="99">
        <f>VALUE(C14)</f>
        <v>5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0.1079136690647482</v>
      </c>
      <c r="O14" s="85">
        <f>D14*N14</f>
        <v>0.53956834532374098</v>
      </c>
    </row>
    <row r="15" spans="1:15" ht="13.5" thickBot="1" x14ac:dyDescent="0.25">
      <c r="A15" s="123" t="s">
        <v>162</v>
      </c>
      <c r="B15" s="44" t="str">
        <f>IF(LEN(VLOOKUP(A15,'Species List'!$A:$G,2,FALSE))=0,"",VLOOKUP(A15,'Species List'!$A:$G,2,FALSE))</f>
        <v>box elder</v>
      </c>
      <c r="C15" s="44">
        <f>IF(LEN(VLOOKUP(A15,'Species List'!$A:$G,3,FALSE))=0,"",VLOOKUP(A15,'Species List'!$A:$G,3,FALSE))</f>
        <v>1</v>
      </c>
      <c r="D15" s="99">
        <f t="shared" ref="D15:D78" si="4">VALUE(C15)</f>
        <v>1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0.1079136690647482</v>
      </c>
      <c r="O15" s="98">
        <f t="shared" ref="O15:O78" si="6">D15*N15</f>
        <v>0.1079136690647482</v>
      </c>
    </row>
    <row r="16" spans="1:15" ht="13.5" thickBot="1" x14ac:dyDescent="0.25">
      <c r="A16" s="123" t="s">
        <v>4595</v>
      </c>
      <c r="B16" s="44" t="str">
        <f>IF(LEN(VLOOKUP(A16,'Species List'!$A:$G,2,FALSE))=0,"",VLOOKUP(A16,'Species List'!$A:$G,2,FALSE))</f>
        <v>American elm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0.1079136690647482</v>
      </c>
      <c r="O16" s="98">
        <f t="shared" si="6"/>
        <v>0.32374100719424459</v>
      </c>
    </row>
    <row r="17" spans="1:15" ht="13.5" thickBot="1" x14ac:dyDescent="0.25">
      <c r="A17" s="123" t="s">
        <v>3692</v>
      </c>
      <c r="B17" s="44" t="str">
        <f>IF(LEN(VLOOKUP(A17,'Species List'!$A:$G,2,FALSE))=0,"",VLOOKUP(A17,'Species List'!$A:$G,2,FALSE))</f>
        <v>bur oak</v>
      </c>
      <c r="C17" s="44">
        <f>IF(LEN(VLOOKUP(A17,'Species List'!$A:$G,3,FALSE))=0,"",VLOOKUP(A17,'Species List'!$A:$G,3,FALSE))</f>
        <v>5</v>
      </c>
      <c r="D17" s="99">
        <f t="shared" si="4"/>
        <v>5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91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85">
        <f t="shared" si="2"/>
        <v>3.5971223021582736E-3</v>
      </c>
      <c r="O17" s="98">
        <f t="shared" si="6"/>
        <v>1.7985611510791366E-2</v>
      </c>
    </row>
    <row r="18" spans="1:15" ht="13.5" thickBot="1" x14ac:dyDescent="0.25">
      <c r="A18" s="123" t="s">
        <v>4814</v>
      </c>
      <c r="B18" s="44" t="str">
        <f>IF(LEN(VLOOKUP(A18,'Species List'!$A:$G,2,FALSE))=0,"",VLOOKUP(A18,'Species List'!$A:$G,2,FALSE))</f>
        <v>prickly ash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2.1582733812949641E-2</v>
      </c>
      <c r="O18" s="98">
        <f t="shared" si="6"/>
        <v>6.4748201438848921E-2</v>
      </c>
    </row>
    <row r="19" spans="1:15" ht="13.5" thickBot="1" x14ac:dyDescent="0.25">
      <c r="A19" s="123" t="s">
        <v>2144</v>
      </c>
      <c r="B19" s="44" t="str">
        <f>IF(LEN(VLOOKUP(A19,'Species List'!$A:$G,2,FALSE))=0,"",VLOOKUP(A19,'Species List'!$A:$G,2,FALSE))</f>
        <v>green ash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2.1582733812949641E-2</v>
      </c>
      <c r="O19" s="98">
        <f t="shared" si="6"/>
        <v>4.3165467625899283E-2</v>
      </c>
    </row>
    <row r="20" spans="1:15" ht="13.5" thickBot="1" x14ac:dyDescent="0.25">
      <c r="A20" s="123" t="s">
        <v>3656</v>
      </c>
      <c r="B20" s="44" t="str">
        <f>IF(LEN(VLOOKUP(A20,'Species List'!$A:$G,2,FALSE))=0,"",VLOOKUP(A20,'Species List'!$A:$G,2,FALSE))</f>
        <v>chokecherry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[FAC-]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2.1582733812949641E-2</v>
      </c>
      <c r="O20" s="98">
        <f t="shared" si="6"/>
        <v>6.4748201438848921E-2</v>
      </c>
    </row>
    <row r="21" spans="1:15" ht="13.5" thickBot="1" x14ac:dyDescent="0.25">
      <c r="A21" s="124" t="s">
        <v>3755</v>
      </c>
      <c r="B21" s="44" t="str">
        <f>IF(LEN(VLOOKUP(A21,'Species List'!$A:$G,2,FALSE))=0,"",VLOOKUP(A21,'Species List'!$A:$G,2,FALSE))</f>
        <v>common buckthorn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91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85">
        <f t="shared" si="2"/>
        <v>0.1079136690647482</v>
      </c>
      <c r="O21" s="98">
        <f t="shared" si="6"/>
        <v>0</v>
      </c>
    </row>
    <row r="22" spans="1:15" ht="13.5" thickBot="1" x14ac:dyDescent="0.25">
      <c r="A22" s="123" t="s">
        <v>1250</v>
      </c>
      <c r="B22" s="44" t="str">
        <f>IF(LEN(VLOOKUP(A22,'Species List'!$A:$G,2,FALSE))=0,"",VLOOKUP(A22,'Species List'!$A:$G,2,FALSE))</f>
        <v>hackberry</v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[FAC-]</v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2.1582733812949641E-2</v>
      </c>
      <c r="O22" s="98">
        <f t="shared" si="6"/>
        <v>6.4748201438848921E-2</v>
      </c>
    </row>
    <row r="23" spans="1:15" ht="13.5" thickBot="1" x14ac:dyDescent="0.25">
      <c r="A23" s="123" t="s">
        <v>3775</v>
      </c>
      <c r="B23" s="44" t="str">
        <f>IF(LEN(VLOOKUP(A23,'Species List'!$A:$G,2,FALSE))=0,"",VLOOKUP(A23,'Species List'!$A:$G,2,FALSE))</f>
        <v>wild black currant</v>
      </c>
      <c r="C23" s="44">
        <f>IF(LEN(VLOOKUP(A23,'Species List'!$A:$G,3,FALSE))=0,"",VLOOKUP(A23,'Species List'!$A:$G,3,FALSE))</f>
        <v>4</v>
      </c>
      <c r="D23" s="99">
        <f t="shared" si="4"/>
        <v>4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91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85">
        <f t="shared" si="2"/>
        <v>3.5971223021582736E-3</v>
      </c>
      <c r="O23" s="98">
        <f t="shared" si="6"/>
        <v>1.4388489208633094E-2</v>
      </c>
    </row>
    <row r="24" spans="1:15" ht="13.5" thickBot="1" x14ac:dyDescent="0.25">
      <c r="A24" s="123" t="s">
        <v>5438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2.1582733812949641E-2</v>
      </c>
      <c r="O24" s="98">
        <f t="shared" si="6"/>
        <v>6.4748201438848921E-2</v>
      </c>
    </row>
    <row r="25" spans="1:15" ht="13.5" thickBot="1" x14ac:dyDescent="0.25">
      <c r="A25" s="123" t="s">
        <v>3848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91" t="s">
        <v>5409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100">
        <f t="shared" si="5"/>
        <v>0.5</v>
      </c>
      <c r="N25" s="85">
        <f t="shared" si="2"/>
        <v>3.5971223021582736E-3</v>
      </c>
      <c r="O25" s="98">
        <f t="shared" si="6"/>
        <v>1.0791366906474821E-2</v>
      </c>
    </row>
    <row r="26" spans="1:15" ht="13.5" thickBot="1" x14ac:dyDescent="0.25">
      <c r="A26" s="123" t="s">
        <v>2253</v>
      </c>
      <c r="B26" s="44" t="str">
        <f>IF(LEN(VLOOKUP(A26,'Species List'!$A:$G,2,FALSE))=0,"",VLOOKUP(A26,'Species List'!$A:$G,2,FALSE))</f>
        <v>honey locust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</v>
      </c>
      <c r="H26" s="44" t="str">
        <f>VLOOKUP(A26,'Species List'!$A:$G,7,FALSE)</f>
        <v>W</v>
      </c>
      <c r="J26" s="91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85">
        <f t="shared" si="2"/>
        <v>3.5971223021582736E-3</v>
      </c>
      <c r="O26" s="98">
        <f t="shared" si="6"/>
        <v>0</v>
      </c>
    </row>
    <row r="27" spans="1:15" ht="13.5" thickBot="1" x14ac:dyDescent="0.25">
      <c r="A27" s="123" t="s">
        <v>4698</v>
      </c>
      <c r="B27" s="44" t="str">
        <f>IF(LEN(VLOOKUP(A27,'Species List'!$A:$G,2,FALSE))=0,"",VLOOKUP(A27,'Species List'!$A:$G,2,FALSE))</f>
        <v>nannyberry</v>
      </c>
      <c r="C27" s="44">
        <f>IF(LEN(VLOOKUP(A27,'Species List'!$A:$G,3,FALSE))=0,"",VLOOKUP(A27,'Species List'!$A:$G,3,FALSE))</f>
        <v>4</v>
      </c>
      <c r="D27" s="99">
        <f t="shared" si="4"/>
        <v>4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FAC+</v>
      </c>
      <c r="H27" s="44">
        <f>VLOOKUP(A27,'Species List'!$A:$G,7,FALSE)</f>
        <v>0</v>
      </c>
      <c r="J27" s="91" t="s">
        <v>5409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100">
        <f t="shared" si="5"/>
        <v>0.5</v>
      </c>
      <c r="N27" s="85">
        <f t="shared" si="2"/>
        <v>3.5971223021582736E-3</v>
      </c>
      <c r="O27" s="98">
        <f t="shared" si="6"/>
        <v>1.4388489208633094E-2</v>
      </c>
    </row>
    <row r="28" spans="1:15" ht="13.5" thickBot="1" x14ac:dyDescent="0.25">
      <c r="A28" s="123" t="s">
        <v>3211</v>
      </c>
      <c r="B28" s="44" t="str">
        <f>IF(LEN(VLOOKUP(A28,'Species List'!$A:$G,2,FALSE))=0,"",VLOOKUP(A28,'Species List'!$A:$G,2,FALSE))</f>
        <v>Virginia creeper</v>
      </c>
      <c r="C28" s="44">
        <f>IF(LEN(VLOOKUP(A28,'Species List'!$A:$G,3,FALSE))=0,"",VLOOKUP(A28,'Species List'!$A:$G,3,FALSE))</f>
        <v>3</v>
      </c>
      <c r="D28" s="99">
        <f t="shared" si="4"/>
        <v>3</v>
      </c>
      <c r="E28" s="44" t="str">
        <f>IF(LEN(VLOOKUP(A28,'Species List'!$A:$G,4,FALSE))=0,"",VLOOKUP(A28,'Species List'!$A:$G,4,FALSE))</f>
        <v>C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FAC-</v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2.1582733812949641E-2</v>
      </c>
      <c r="O28" s="98">
        <f t="shared" si="6"/>
        <v>6.4748201438848921E-2</v>
      </c>
    </row>
    <row r="29" spans="1:15" ht="13.5" thickBot="1" x14ac:dyDescent="0.25">
      <c r="A29" s="123" t="s">
        <v>4765</v>
      </c>
      <c r="B29" s="44" t="str">
        <f>IF(LEN(VLOOKUP(A29,'Species List'!$A:$G,2,FALSE))=0,"",VLOOKUP(A29,'Species List'!$A:$G,2,FALSE))</f>
        <v>wild grape</v>
      </c>
      <c r="C29" s="44">
        <f>IF(LEN(VLOOKUP(A29,'Species List'!$A:$G,3,FALSE))=0,"",VLOOKUP(A29,'Species List'!$A:$G,3,FALSE))</f>
        <v>2</v>
      </c>
      <c r="D29" s="99">
        <f t="shared" si="4"/>
        <v>2</v>
      </c>
      <c r="E29" s="44" t="str">
        <f>IF(LEN(VLOOKUP(A29,'Species List'!$A:$G,4,FALSE))=0,"",VLOOKUP(A29,'Species List'!$A:$G,4,FALSE))</f>
        <v>C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FACW-</v>
      </c>
      <c r="H29" s="44">
        <f>VLOOKUP(A29,'Species List'!$A:$G,7,FALSE)</f>
        <v>0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85">
        <f t="shared" si="2"/>
        <v>2.1582733812949641E-2</v>
      </c>
      <c r="O29" s="98">
        <f t="shared" si="6"/>
        <v>4.3165467625899283E-2</v>
      </c>
    </row>
    <row r="30" spans="1:15" ht="13.5" thickBot="1" x14ac:dyDescent="0.25">
      <c r="A30" s="123" t="s">
        <v>5422</v>
      </c>
      <c r="B30" s="44" t="str">
        <f>IF(LEN(VLOOKUP(A30,'Species List'!$A:$G,2,FALSE))=0,"",VLOOKUP(A30,'Species List'!$A:$G,2,FALSE))</f>
        <v>woodbine</v>
      </c>
      <c r="C30" s="44">
        <f>IF(LEN(VLOOKUP(A30,'Species List'!$A:$G,3,FALSE))=0,"",VLOOKUP(A30,'Species List'!$A:$G,3,FALSE))</f>
        <v>2</v>
      </c>
      <c r="D30" s="99">
        <f t="shared" si="4"/>
        <v>2</v>
      </c>
      <c r="E30" s="44" t="str">
        <f>IF(LEN(VLOOKUP(A30,'Species List'!$A:$G,4,FALSE))=0,"",VLOOKUP(A30,'Species List'!$A:$G,4,FALSE))</f>
        <v>C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85">
        <f t="shared" si="2"/>
        <v>2.1582733812949641E-2</v>
      </c>
      <c r="O30" s="98">
        <f t="shared" si="6"/>
        <v>4.3165467625899283E-2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139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5444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4.25" thickTop="1" thickBot="1" x14ac:dyDescent="0.25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ht="13.5" thickBot="1" x14ac:dyDescent="0.25">
      <c r="A12" s="123" t="s">
        <v>4622</v>
      </c>
      <c r="B12" s="44" t="str">
        <f>IF(LEN(VLOOKUP(A12,'Species List'!$A:$G,2,FALSE))=0,"",VLOOKUP(A12,'Species List'!$A:$G,2,FALSE))</f>
        <v>large-flowered bellwort</v>
      </c>
      <c r="C12" s="44">
        <f>IF(LEN(VLOOKUP(A12,'Species List'!$A:$G,3,FALSE))=0,"",VLOOKUP(A12,'Species List'!$A:$G,3,FALSE))</f>
        <v>7</v>
      </c>
      <c r="D12" s="99">
        <f t="shared" ref="D12:D13" si="0">VALUE(C12)</f>
        <v>7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3" t="s">
        <v>5409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100">
        <f t="shared" ref="M12:M14" si="1">VALUE(L12)</f>
        <v>0.5</v>
      </c>
      <c r="N12" s="109">
        <f t="shared" ref="N12:N13" si="2">L12/$L$153</f>
        <v>4.2918454935622317E-3</v>
      </c>
      <c r="O12" s="109">
        <f t="shared" ref="O12:O13" si="3">D12*N12</f>
        <v>3.0042918454935622E-2</v>
      </c>
    </row>
    <row r="13" spans="1:15" ht="13.5" thickBot="1" x14ac:dyDescent="0.25">
      <c r="A13" s="123" t="s">
        <v>5445</v>
      </c>
      <c r="B13" s="44" t="e">
        <f>IF(LEN(VLOOKUP(A13,'Species List'!$A:$G,2,FALSE))=0,"",VLOOKUP(A13,'Species List'!$A:$G,2,FALSE))</f>
        <v>#N/A</v>
      </c>
      <c r="C13" s="44">
        <v>0</v>
      </c>
      <c r="D13" s="99">
        <f t="shared" si="0"/>
        <v>0</v>
      </c>
      <c r="E13" s="44" t="s">
        <v>149</v>
      </c>
      <c r="F13" s="44" t="s">
        <v>152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0.12875536480686695</v>
      </c>
      <c r="O13" s="109">
        <f t="shared" si="3"/>
        <v>0</v>
      </c>
    </row>
    <row r="14" spans="1:15" ht="13.5" thickBot="1" x14ac:dyDescent="0.25">
      <c r="A14" s="123" t="s">
        <v>472</v>
      </c>
      <c r="B14" s="44" t="str">
        <f>IF(LEN(VLOOKUP(A14,'Species List'!$A:$G,2,FALSE))=0,"",VLOOKUP(A14,'Species List'!$A:$G,2,FALSE))</f>
        <v>Jack-in-the-pulpit</v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123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2.575107296137339E-2</v>
      </c>
      <c r="O14" s="85">
        <f>D14*N14</f>
        <v>0.10300429184549356</v>
      </c>
    </row>
    <row r="15" spans="1:15" ht="13.5" thickBot="1" x14ac:dyDescent="0.25">
      <c r="A15" s="123" t="s">
        <v>3679</v>
      </c>
      <c r="B15" s="44" t="str">
        <f>IF(LEN(VLOOKUP(A15,'Species List'!$A:$G,2,FALSE))=0,"",VLOOKUP(A15,'Species List'!$A:$G,2,FALSE))</f>
        <v>elliptic shinleaf</v>
      </c>
      <c r="C15" s="44">
        <f>IF(LEN(VLOOKUP(A15,'Species List'!$A:$G,3,FALSE))=0,"",VLOOKUP(A15,'Species List'!$A:$G,3,FALSE))</f>
        <v>6</v>
      </c>
      <c r="D15" s="99">
        <f t="shared" ref="D15:D78" si="4">VALUE(C15)</f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2.575107296137339E-2</v>
      </c>
      <c r="O15" s="98">
        <f t="shared" ref="O15:O78" si="7">D15*N15</f>
        <v>0.15450643776824036</v>
      </c>
    </row>
    <row r="16" spans="1:15" ht="13.5" thickBot="1" x14ac:dyDescent="0.25">
      <c r="A16" s="123" t="s">
        <v>2698</v>
      </c>
      <c r="B16" s="44" t="str">
        <f>IF(LEN(VLOOKUP(A16,'Species List'!$A:$G,2,FALSE))=0,"",VLOOKUP(A16,'Species List'!$A:$G,2,FALSE))</f>
        <v>lily-leaved twayblade</v>
      </c>
      <c r="C16" s="44">
        <f>IF(LEN(VLOOKUP(A16,'Species List'!$A:$G,3,FALSE))=0,"",VLOOKUP(A16,'Species List'!$A:$G,3,FALSE))</f>
        <v>5</v>
      </c>
      <c r="D16" s="99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FACU-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2.575107296137339E-2</v>
      </c>
      <c r="O16" s="98">
        <f t="shared" si="7"/>
        <v>0.12875536480686695</v>
      </c>
    </row>
    <row r="17" spans="1:15" ht="13.5" thickBot="1" x14ac:dyDescent="0.25">
      <c r="A17" s="123" t="s">
        <v>1270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2.575107296137339E-2</v>
      </c>
      <c r="O17" s="98">
        <f t="shared" si="7"/>
        <v>0</v>
      </c>
    </row>
    <row r="18" spans="1:15" ht="13.5" thickBot="1" x14ac:dyDescent="0.25">
      <c r="A18" s="123" t="s">
        <v>1773</v>
      </c>
      <c r="B18" s="44" t="str">
        <f>IF(LEN(VLOOKUP(A18,'Species List'!$A:$G,2,FALSE))=0,"",VLOOKUP(A18,'Species List'!$A:$G,2,FALSE))</f>
        <v>spinulose shield fern</v>
      </c>
      <c r="C18" s="44">
        <f>IF(LEN(VLOOKUP(A18,'Species List'!$A:$G,3,FALSE))=0,"",VLOOKUP(A18,'Species List'!$A:$G,3,FALSE))</f>
        <v>6</v>
      </c>
      <c r="D18" s="99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[FACW-]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2.575107296137339E-2</v>
      </c>
      <c r="O18" s="98">
        <f t="shared" si="7"/>
        <v>0.15450643776824036</v>
      </c>
    </row>
    <row r="19" spans="1:15" ht="13.5" thickBot="1" x14ac:dyDescent="0.25">
      <c r="A19" s="123" t="s">
        <v>596</v>
      </c>
      <c r="B19" s="44" t="str">
        <f>IF(LEN(VLOOKUP(A19,'Species List'!$A:$G,2,FALSE))=0,"",VLOOKUP(A19,'Species List'!$A:$G,2,FALSE))</f>
        <v>lady fern</v>
      </c>
      <c r="C19" s="44">
        <f>IF(LEN(VLOOKUP(A19,'Species List'!$A:$G,3,FALSE))=0,"",VLOOKUP(A19,'Species List'!$A:$G,3,FALSE))</f>
        <v>5</v>
      </c>
      <c r="D19" s="99">
        <f t="shared" si="4"/>
        <v>5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3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98">
        <f t="shared" si="6"/>
        <v>0.12875536480686695</v>
      </c>
      <c r="O19" s="98">
        <f t="shared" si="7"/>
        <v>0.64377682403433467</v>
      </c>
    </row>
    <row r="20" spans="1:15" ht="13.5" thickBot="1" x14ac:dyDescent="0.25">
      <c r="A20" s="123" t="s">
        <v>3100</v>
      </c>
      <c r="B20" s="44" t="str">
        <f>IF(LEN(VLOOKUP(A20,'Species List'!$A:$G,2,FALSE))=0,"",VLOOKUP(A20,'Species List'!$A:$G,2,FALSE))</f>
        <v>sensitive fern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2.575107296137339E-2</v>
      </c>
      <c r="O20" s="98">
        <f t="shared" si="7"/>
        <v>0.10300429184549356</v>
      </c>
    </row>
    <row r="21" spans="1:15" ht="13.5" thickBot="1" x14ac:dyDescent="0.25">
      <c r="A21" s="123" t="s">
        <v>2186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9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FACU+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2.575107296137339E-2</v>
      </c>
      <c r="O21" s="98">
        <f t="shared" si="7"/>
        <v>0.10300429184549356</v>
      </c>
    </row>
    <row r="22" spans="1:15" ht="13.5" thickBot="1" x14ac:dyDescent="0.25">
      <c r="A22" s="123" t="s">
        <v>4210</v>
      </c>
      <c r="B22" s="44" t="str">
        <f>IF(LEN(VLOOKUP(A22,'Species List'!$A:$G,2,FALSE))=0,"",VLOOKUP(A22,'Species List'!$A:$G,2,FALSE))</f>
        <v>late goldenrod</v>
      </c>
      <c r="C22" s="44">
        <f>IF(LEN(VLOOKUP(A22,'Species List'!$A:$G,3,FALSE))=0,"",VLOOKUP(A22,'Species List'!$A:$G,3,FALSE))</f>
        <v>1</v>
      </c>
      <c r="D22" s="99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2.575107296137339E-2</v>
      </c>
      <c r="O22" s="98">
        <f t="shared" si="7"/>
        <v>2.575107296137339E-2</v>
      </c>
    </row>
    <row r="23" spans="1:15" ht="13.5" thickBot="1" x14ac:dyDescent="0.25">
      <c r="A23" s="123" t="s">
        <v>2850</v>
      </c>
      <c r="B23" s="44" t="str">
        <f>IF(LEN(VLOOKUP(A23,'Species List'!$A:$G,2,FALSE))=0,"",VLOOKUP(A23,'Species List'!$A:$G,2,FALSE))</f>
        <v>starry false Solomon's seal</v>
      </c>
      <c r="C23" s="44">
        <f>IF(LEN(VLOOKUP(A23,'Species List'!$A:$G,3,FALSE))=0,"",VLOOKUP(A23,'Species List'!$A:$G,3,FALSE))</f>
        <v>5</v>
      </c>
      <c r="D23" s="99">
        <f t="shared" si="4"/>
        <v>5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23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98">
        <f t="shared" si="6"/>
        <v>4.2918454935622317E-3</v>
      </c>
      <c r="O23" s="98">
        <f t="shared" si="7"/>
        <v>2.1459227467811159E-2</v>
      </c>
    </row>
    <row r="24" spans="1:15" ht="13.5" thickBot="1" x14ac:dyDescent="0.25">
      <c r="A24" s="123" t="s">
        <v>4466</v>
      </c>
      <c r="B24" s="44" t="str">
        <f>IF(LEN(VLOOKUP(A24,'Species List'!$A:$G,2,FALSE))=0,"",VLOOKUP(A24,'Species List'!$A:$G,2,FALSE))</f>
        <v>common dandelion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2.575107296137339E-2</v>
      </c>
      <c r="O24" s="98">
        <f t="shared" si="7"/>
        <v>0</v>
      </c>
    </row>
    <row r="25" spans="1:15" ht="13.5" thickBot="1" x14ac:dyDescent="0.25">
      <c r="A25" s="123" t="s">
        <v>4219</v>
      </c>
      <c r="B25" s="44" t="str">
        <f>IF(LEN(VLOOKUP(A25,'Species List'!$A:$G,2,FALSE))=0,"",VLOOKUP(A25,'Species List'!$A:$G,2,FALSE))</f>
        <v>giant goldenrod</v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2.575107296137339E-2</v>
      </c>
      <c r="O25" s="98">
        <f t="shared" si="7"/>
        <v>7.7253218884120178E-2</v>
      </c>
    </row>
    <row r="26" spans="1:15" ht="13.5" thickBot="1" x14ac:dyDescent="0.25">
      <c r="A26" s="123" t="s">
        <v>4507</v>
      </c>
      <c r="B26" s="44" t="str">
        <f>IF(LEN(VLOOKUP(A26,'Species List'!$A:$G,2,FALSE))=0,"",VLOOKUP(A26,'Species List'!$A:$G,2,FALSE))</f>
        <v>Japanese Hedge Parsley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2.575107296137339E-2</v>
      </c>
      <c r="O26" s="98">
        <f t="shared" si="7"/>
        <v>0</v>
      </c>
    </row>
    <row r="27" spans="1:15" ht="13.5" thickBot="1" x14ac:dyDescent="0.25">
      <c r="A27" s="123" t="s">
        <v>359</v>
      </c>
      <c r="B27" s="44" t="str">
        <f>IF(LEN(VLOOKUP(A27,'Species List'!$A:$G,2,FALSE))=0,"",VLOOKUP(A27,'Species List'!$A:$G,2,FALSE))</f>
        <v>hog peanut</v>
      </c>
      <c r="C27" s="44">
        <f>IF(LEN(VLOOKUP(A27,'Species List'!$A:$G,3,FALSE))=0,"",VLOOKUP(A27,'Species List'!$A:$G,3,FALSE))</f>
        <v>2</v>
      </c>
      <c r="D27" s="99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2.575107296137339E-2</v>
      </c>
      <c r="O27" s="98">
        <f t="shared" si="7"/>
        <v>5.1502145922746781E-2</v>
      </c>
    </row>
    <row r="28" spans="1:15" ht="13.5" thickBot="1" x14ac:dyDescent="0.25">
      <c r="A28" s="123" t="s">
        <v>384</v>
      </c>
      <c r="B28" s="44" t="str">
        <f>IF(LEN(VLOOKUP(A28,'Species List'!$A:$G,2,FALSE))=0,"",VLOOKUP(A28,'Species List'!$A:$G,2,FALSE))</f>
        <v>canada anemone</v>
      </c>
      <c r="C28" s="44">
        <f>IF(LEN(VLOOKUP(A28,'Species List'!$A:$G,3,FALSE))=0,"",VLOOKUP(A28,'Species List'!$A:$G,3,FALSE))</f>
        <v>3</v>
      </c>
      <c r="D28" s="99">
        <f t="shared" si="4"/>
        <v>3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</v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2.575107296137339E-2</v>
      </c>
      <c r="O28" s="98">
        <f t="shared" si="7"/>
        <v>7.7253218884120178E-2</v>
      </c>
    </row>
    <row r="29" spans="1:15" ht="13.5" thickBot="1" x14ac:dyDescent="0.25">
      <c r="A29" s="123" t="s">
        <v>3391</v>
      </c>
      <c r="B29" s="44" t="str">
        <f>IF(LEN(VLOOKUP(A29,'Species List'!$A:$G,2,FALSE))=0,"",VLOOKUP(A29,'Species List'!$A:$G,2,FALSE))</f>
        <v>Rugel's plantain</v>
      </c>
      <c r="C29" s="44">
        <f>IF(LEN(VLOOKUP(A29,'Species List'!$A:$G,3,FALSE))=0,"",VLOOKUP(A29,'Species List'!$A:$G,3,FALSE))</f>
        <v>0</v>
      </c>
      <c r="D29" s="99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[FAC]</v>
      </c>
      <c r="H29" s="44">
        <f>VLOOKUP(A29,'Species List'!$A:$G,7,FALSE)</f>
        <v>0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2.575107296137339E-2</v>
      </c>
      <c r="O29" s="98">
        <f t="shared" si="7"/>
        <v>0</v>
      </c>
    </row>
    <row r="30" spans="1:15" ht="13.5" thickBot="1" x14ac:dyDescent="0.25">
      <c r="A30" s="123" t="s">
        <v>3882</v>
      </c>
      <c r="B30" s="44" t="str">
        <f>IF(LEN(VLOOKUP(A30,'Species List'!$A:$G,2,FALSE))=0,"",VLOOKUP(A30,'Species List'!$A:$G,2,FALSE))</f>
        <v>tall coneflower</v>
      </c>
      <c r="C30" s="44">
        <f>IF(LEN(VLOOKUP(A30,'Species List'!$A:$G,3,FALSE))=0,"",VLOOKUP(A30,'Species List'!$A:$G,3,FALSE))</f>
        <v>6</v>
      </c>
      <c r="D30" s="99">
        <f t="shared" si="4"/>
        <v>6</v>
      </c>
      <c r="E30" s="44" t="str">
        <f>IF(LEN(VLOOKUP(A30,'Species List'!$A:$G,4,FALSE))=0,"",VLOOKUP(A30,'Species List'!$A:$G,4,FALSE))</f>
        <v/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2.575107296137339E-2</v>
      </c>
      <c r="O30" s="98">
        <f t="shared" si="7"/>
        <v>0.15450643776824036</v>
      </c>
    </row>
    <row r="31" spans="1:15" ht="13.5" thickBot="1" x14ac:dyDescent="0.25">
      <c r="A31" s="123" t="s">
        <v>3149</v>
      </c>
      <c r="B31" s="44" t="str">
        <f>IF(LEN(VLOOKUP(A31,'Species List'!$A:$G,2,FALSE))=0,"",VLOOKUP(A31,'Species List'!$A:$G,2,FALSE))</f>
        <v>yellow wood sorrel</v>
      </c>
      <c r="C31" s="44">
        <f>IF(LEN(VLOOKUP(A31,'Species List'!$A:$G,3,FALSE))=0,"",VLOOKUP(A31,'Species List'!$A:$G,3,FALSE))</f>
        <v>0</v>
      </c>
      <c r="D31" s="99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[FACU]</v>
      </c>
      <c r="H31" s="44">
        <f>VLOOKUP(A31,'Species List'!$A:$G,7,FALSE)</f>
        <v>0</v>
      </c>
      <c r="J31" s="123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2.575107296137339E-2</v>
      </c>
      <c r="O31" s="98">
        <f t="shared" si="7"/>
        <v>0</v>
      </c>
    </row>
    <row r="32" spans="1:15" ht="13.5" thickBot="1" x14ac:dyDescent="0.25">
      <c r="A32" s="123" t="s">
        <v>1365</v>
      </c>
      <c r="B32" s="44" t="str">
        <f>IF(LEN(VLOOKUP(A32,'Species List'!$A:$G,2,FALSE))=0,"",VLOOKUP(A32,'Species List'!$A:$G,2,FALSE))</f>
        <v>common enchanter's nightshade</v>
      </c>
      <c r="C32" s="44">
        <f>IF(LEN(VLOOKUP(A32,'Species List'!$A:$G,3,FALSE))=0,"",VLOOKUP(A32,'Species List'!$A:$G,3,FALSE))</f>
        <v>2</v>
      </c>
      <c r="D32" s="99">
        <f t="shared" si="4"/>
        <v>2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[FACU]</v>
      </c>
      <c r="H32" s="44">
        <f>VLOOKUP(A32,'Species List'!$A:$G,7,FALSE)</f>
        <v>0</v>
      </c>
      <c r="J32" s="123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2.575107296137339E-2</v>
      </c>
      <c r="O32" s="98">
        <f t="shared" si="7"/>
        <v>5.1502145922746781E-2</v>
      </c>
    </row>
    <row r="33" spans="1:15" ht="13.5" thickBot="1" x14ac:dyDescent="0.25">
      <c r="A33" s="123" t="s">
        <v>2845</v>
      </c>
      <c r="B33" s="44" t="str">
        <f>IF(LEN(VLOOKUP(A33,'Species List'!$A:$G,2,FALSE))=0,"",VLOOKUP(A33,'Species List'!$A:$G,2,FALSE))</f>
        <v>Canada mayflower</v>
      </c>
      <c r="C33" s="44">
        <f>IF(LEN(VLOOKUP(A33,'Species List'!$A:$G,3,FALSE))=0,"",VLOOKUP(A33,'Species List'!$A:$G,3,FALSE))</f>
        <v>5</v>
      </c>
      <c r="D33" s="99">
        <f t="shared" si="4"/>
        <v>5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2.575107296137339E-2</v>
      </c>
      <c r="O33" s="98">
        <f t="shared" si="7"/>
        <v>0.12875536480686695</v>
      </c>
    </row>
    <row r="34" spans="1:15" ht="13.5" thickBot="1" x14ac:dyDescent="0.25">
      <c r="A34" s="123" t="s">
        <v>5429</v>
      </c>
      <c r="B34" s="44" t="str">
        <f>IF(LEN(VLOOKUP(A34,'Species List'!$A:$G,2,FALSE))=0,"",VLOOKUP(A34,'Species List'!$A:$G,2,FALSE))</f>
        <v>northern dewberry</v>
      </c>
      <c r="C34" s="44">
        <f>IF(LEN(VLOOKUP(A34,'Species List'!$A:$G,3,FALSE))=0,"",VLOOKUP(A34,'Species List'!$A:$G,3,FALSE))</f>
        <v>3</v>
      </c>
      <c r="D34" s="99">
        <f t="shared" si="4"/>
        <v>3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23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2.575107296137339E-2</v>
      </c>
      <c r="O34" s="98">
        <f t="shared" si="7"/>
        <v>7.7253218884120178E-2</v>
      </c>
    </row>
    <row r="35" spans="1:15" ht="13.5" thickBot="1" x14ac:dyDescent="0.25">
      <c r="A35" s="123" t="s">
        <v>2808</v>
      </c>
      <c r="B35" s="44" t="str">
        <f>IF(LEN(VLOOKUP(A35,'Species List'!$A:$G,2,FALSE))=0,"",VLOOKUP(A35,'Species List'!$A:$G,2,FALSE))</f>
        <v>cut-leaved bugleweed</v>
      </c>
      <c r="C35" s="44">
        <f>IF(LEN(VLOOKUP(A35,'Species List'!$A:$G,3,FALSE))=0,"",VLOOKUP(A35,'Species List'!$A:$G,3,FALSE))</f>
        <v>4</v>
      </c>
      <c r="D35" s="99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OBL</v>
      </c>
      <c r="H35" s="44">
        <f>VLOOKUP(A35,'Species List'!$A:$G,7,FALSE)</f>
        <v>0</v>
      </c>
      <c r="J35" s="123" t="s">
        <v>5409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100">
        <f t="shared" si="5"/>
        <v>0.5</v>
      </c>
      <c r="N35" s="98">
        <f t="shared" si="6"/>
        <v>4.2918454935622317E-3</v>
      </c>
      <c r="O35" s="98">
        <f t="shared" si="7"/>
        <v>1.7167381974248927E-2</v>
      </c>
    </row>
    <row r="36" spans="1:15" ht="13.5" thickBot="1" x14ac:dyDescent="0.25">
      <c r="A36" s="123" t="s">
        <v>461</v>
      </c>
      <c r="B36" s="44" t="str">
        <f>IF(LEN(VLOOKUP(A36,'Species List'!$A:$G,2,FALSE))=0,"",VLOOKUP(A36,'Species List'!$A:$G,2,FALSE))</f>
        <v>common burdock</v>
      </c>
      <c r="C36" s="44">
        <f>IF(LEN(VLOOKUP(A36,'Species List'!$A:$G,3,FALSE))=0,"",VLOOKUP(A36,'Species List'!$A:$G,3,FALSE))</f>
        <v>0</v>
      </c>
      <c r="D36" s="99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23" t="s">
        <v>5409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100">
        <f t="shared" si="5"/>
        <v>0.5</v>
      </c>
      <c r="N36" s="98">
        <f t="shared" si="6"/>
        <v>4.2918454935622317E-3</v>
      </c>
      <c r="O36" s="98">
        <f t="shared" si="7"/>
        <v>0</v>
      </c>
    </row>
    <row r="37" spans="1:15" ht="13.5" thickBot="1" x14ac:dyDescent="0.25">
      <c r="A37" s="123" t="s">
        <v>3735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5</v>
      </c>
      <c r="D37" s="99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</v>
      </c>
      <c r="H37" s="44">
        <f>VLOOKUP(A37,'Species List'!$A:$G,7,FALSE)</f>
        <v>0</v>
      </c>
      <c r="J37" s="123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2.575107296137339E-2</v>
      </c>
      <c r="O37" s="98">
        <f t="shared" si="7"/>
        <v>0.12875536480686695</v>
      </c>
    </row>
    <row r="38" spans="1:15" ht="13.5" thickBot="1" x14ac:dyDescent="0.25">
      <c r="A38" s="123" t="s">
        <v>3726</v>
      </c>
      <c r="B38" s="44" t="str">
        <f>IF(LEN(VLOOKUP(A38,'Species List'!$A:$G,2,FALSE))=0,"",VLOOKUP(A38,'Species List'!$A:$G,2,FALSE))</f>
        <v>hispid buttercup</v>
      </c>
      <c r="C38" s="44">
        <f>IF(LEN(VLOOKUP(A38,'Species List'!$A:$G,3,FALSE))=0,"",VLOOKUP(A38,'Species List'!$A:$G,3,FALSE))</f>
        <v>6</v>
      </c>
      <c r="D38" s="99">
        <f t="shared" si="4"/>
        <v>6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</v>
      </c>
      <c r="H38" s="44">
        <f>VLOOKUP(A38,'Species List'!$A:$G,7,FALSE)</f>
        <v>0</v>
      </c>
      <c r="J38" s="123" t="s">
        <v>5407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2.575107296137339E-2</v>
      </c>
      <c r="O38" s="98">
        <f t="shared" si="7"/>
        <v>0.15450643776824036</v>
      </c>
    </row>
    <row r="39" spans="1:15" ht="13.5" thickBot="1" x14ac:dyDescent="0.25">
      <c r="A39" s="123" t="s">
        <v>2301</v>
      </c>
      <c r="B39" s="44" t="str">
        <f>IF(LEN(VLOOKUP(A39,'Species List'!$A:$G,2,FALSE))=0,"",VLOOKUP(A39,'Species List'!$A:$G,2,FALSE))</f>
        <v>Virginia stickseed</v>
      </c>
      <c r="C39" s="44">
        <f>IF(LEN(VLOOKUP(A39,'Species List'!$A:$G,3,FALSE))=0,"",VLOOKUP(A39,'Species List'!$A:$G,3,FALSE))</f>
        <v>1</v>
      </c>
      <c r="D39" s="99">
        <f t="shared" si="4"/>
        <v>1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FAC-</v>
      </c>
      <c r="H39" s="44">
        <f>VLOOKUP(A39,'Species List'!$A:$G,7,FALSE)</f>
        <v>0</v>
      </c>
      <c r="J39" s="123" t="s">
        <v>5407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2.575107296137339E-2</v>
      </c>
      <c r="O39" s="98">
        <f t="shared" si="7"/>
        <v>2.575107296137339E-2</v>
      </c>
    </row>
    <row r="40" spans="1:15" ht="13.5" thickBot="1" x14ac:dyDescent="0.25">
      <c r="A40" s="123" t="s">
        <v>2163</v>
      </c>
      <c r="B40" s="44" t="str">
        <f>IF(LEN(VLOOKUP(A40,'Species List'!$A:$G,2,FALSE))=0,"",VLOOKUP(A40,'Species List'!$A:$G,2,FALSE))</f>
        <v>cleavers</v>
      </c>
      <c r="C40" s="44">
        <f>IF(LEN(VLOOKUP(A40,'Species List'!$A:$G,3,FALSE))=0,"",VLOOKUP(A40,'Species List'!$A:$G,3,FALSE))</f>
        <v>1</v>
      </c>
      <c r="D40" s="99">
        <f t="shared" si="4"/>
        <v>1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FACU</v>
      </c>
      <c r="H40" s="44">
        <f>VLOOKUP(A40,'Species List'!$A:$G,7,FALSE)</f>
        <v>0</v>
      </c>
      <c r="J40" s="123" t="s">
        <v>5407</v>
      </c>
      <c r="K40" s="47" t="str">
        <f>VLOOKUP(J40,'Species List'!$H$1:$J$9,2,FALSE)</f>
        <v>&gt;1-5%</v>
      </c>
      <c r="L40" s="47">
        <f>VLOOKUP(K40,'Species List'!$I$1:$N$8,2,FALSE)</f>
        <v>3</v>
      </c>
      <c r="M40" s="100">
        <f t="shared" si="5"/>
        <v>3</v>
      </c>
      <c r="N40" s="98">
        <f t="shared" si="6"/>
        <v>2.575107296137339E-2</v>
      </c>
      <c r="O40" s="98">
        <f t="shared" si="7"/>
        <v>2.575107296137339E-2</v>
      </c>
    </row>
    <row r="41" spans="1:15" ht="13.5" thickBot="1" x14ac:dyDescent="0.25">
      <c r="A41" s="123" t="s">
        <v>199</v>
      </c>
      <c r="B41" s="44" t="str">
        <f>IF(LEN(VLOOKUP(A41,'Species List'!$A:$G,2,FALSE))=0,"",VLOOKUP(A41,'Species List'!$A:$G,2,FALSE))</f>
        <v>red baneberry</v>
      </c>
      <c r="C41" s="44">
        <f>IF(LEN(VLOOKUP(A41,'Species List'!$A:$G,3,FALSE))=0,"",VLOOKUP(A41,'Species List'!$A:$G,3,FALSE))</f>
        <v>7</v>
      </c>
      <c r="D41" s="99">
        <f t="shared" si="4"/>
        <v>7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</v>
      </c>
      <c r="H41" s="44">
        <f>VLOOKUP(A41,'Species List'!$A:$G,7,FALSE)</f>
        <v>0</v>
      </c>
      <c r="J41" s="123" t="s">
        <v>5407</v>
      </c>
      <c r="K41" s="47" t="str">
        <f>VLOOKUP(J41,'Species List'!$H$1:$J$9,2,FALSE)</f>
        <v>&gt;1-5%</v>
      </c>
      <c r="L41" s="47">
        <f>VLOOKUP(K41,'Species List'!$I$1:$N$8,2,FALSE)</f>
        <v>3</v>
      </c>
      <c r="M41" s="100">
        <f t="shared" si="5"/>
        <v>3</v>
      </c>
      <c r="N41" s="98">
        <f t="shared" si="6"/>
        <v>2.575107296137339E-2</v>
      </c>
      <c r="O41" s="98">
        <f t="shared" si="7"/>
        <v>0.18025751072961374</v>
      </c>
    </row>
    <row r="42" spans="1:15" ht="13.5" thickBot="1" x14ac:dyDescent="0.25">
      <c r="A42" s="123" t="s">
        <v>2233</v>
      </c>
      <c r="B42" s="44" t="str">
        <f>IF(LEN(VLOOKUP(A42,'Species List'!$A:$G,2,FALSE))=0,"",VLOOKUP(A42,'Species List'!$A:$G,2,FALSE))</f>
        <v>wild geranium</v>
      </c>
      <c r="C42" s="44">
        <f>IF(LEN(VLOOKUP(A42,'Species List'!$A:$G,3,FALSE))=0,"",VLOOKUP(A42,'Species List'!$A:$G,3,FALSE))</f>
        <v>4</v>
      </c>
      <c r="D42" s="99">
        <f t="shared" si="4"/>
        <v>4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</v>
      </c>
      <c r="H42" s="44">
        <f>VLOOKUP(A42,'Species List'!$A:$G,7,FALSE)</f>
        <v>0</v>
      </c>
      <c r="J42" s="123" t="s">
        <v>5407</v>
      </c>
      <c r="K42" s="47" t="str">
        <f>VLOOKUP(J42,'Species List'!$H$1:$J$9,2,FALSE)</f>
        <v>&gt;1-5%</v>
      </c>
      <c r="L42" s="47">
        <f>VLOOKUP(K42,'Species List'!$I$1:$N$8,2,FALSE)</f>
        <v>3</v>
      </c>
      <c r="M42" s="100">
        <f t="shared" si="5"/>
        <v>3</v>
      </c>
      <c r="N42" s="98">
        <f t="shared" si="6"/>
        <v>2.575107296137339E-2</v>
      </c>
      <c r="O42" s="98">
        <f t="shared" si="7"/>
        <v>0.10300429184549356</v>
      </c>
    </row>
    <row r="43" spans="1:15" ht="13.5" thickBot="1" x14ac:dyDescent="0.25">
      <c r="A43" s="123" t="s">
        <v>395</v>
      </c>
      <c r="B43" s="44" t="str">
        <f>IF(LEN(VLOOKUP(A43,'Species List'!$A:$G,2,FALSE))=0,"",VLOOKUP(A43,'Species List'!$A:$G,2,FALSE))</f>
        <v>wood anemone</v>
      </c>
      <c r="C43" s="44">
        <f>IF(LEN(VLOOKUP(A43,'Species List'!$A:$G,3,FALSE))=0,"",VLOOKUP(A43,'Species List'!$A:$G,3,FALSE))</f>
        <v>5</v>
      </c>
      <c r="D43" s="99">
        <f t="shared" si="4"/>
        <v>5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[FAC*]</v>
      </c>
      <c r="H43" s="44">
        <f>VLOOKUP(A43,'Species List'!$A:$G,7,FALSE)</f>
        <v>0</v>
      </c>
      <c r="J43" s="123" t="s">
        <v>5407</v>
      </c>
      <c r="K43" s="47" t="str">
        <f>VLOOKUP(J43,'Species List'!$H$1:$J$9,2,FALSE)</f>
        <v>&gt;1-5%</v>
      </c>
      <c r="L43" s="47">
        <f>VLOOKUP(K43,'Species List'!$I$1:$N$8,2,FALSE)</f>
        <v>3</v>
      </c>
      <c r="M43" s="100">
        <f t="shared" si="5"/>
        <v>3</v>
      </c>
      <c r="N43" s="98">
        <f t="shared" si="6"/>
        <v>2.575107296137339E-2</v>
      </c>
      <c r="O43" s="98">
        <f t="shared" si="7"/>
        <v>0.12875536480686695</v>
      </c>
    </row>
    <row r="44" spans="1:15" ht="13.5" thickBot="1" x14ac:dyDescent="0.25">
      <c r="A44" s="123" t="s">
        <v>4480</v>
      </c>
      <c r="B44" s="44" t="str">
        <f>IF(LEN(VLOOKUP(A44,'Species List'!$A:$G,2,FALSE))=0,"",VLOOKUP(A44,'Species List'!$A:$G,2,FALSE))</f>
        <v>early meadow-rue</v>
      </c>
      <c r="C44" s="44">
        <f>IF(LEN(VLOOKUP(A44,'Species List'!$A:$G,3,FALSE))=0,"",VLOOKUP(A44,'Species List'!$A:$G,3,FALSE))</f>
        <v>5</v>
      </c>
      <c r="D44" s="99">
        <f t="shared" si="4"/>
        <v>5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FACU+</v>
      </c>
      <c r="H44" s="44">
        <f>VLOOKUP(A44,'Species List'!$A:$G,7,FALSE)</f>
        <v>0</v>
      </c>
      <c r="J44" s="123" t="s">
        <v>5407</v>
      </c>
      <c r="K44" s="47" t="str">
        <f>VLOOKUP(J44,'Species List'!$H$1:$J$9,2,FALSE)</f>
        <v>&gt;1-5%</v>
      </c>
      <c r="L44" s="47">
        <f>VLOOKUP(K44,'Species List'!$I$1:$N$8,2,FALSE)</f>
        <v>3</v>
      </c>
      <c r="M44" s="100">
        <f t="shared" si="5"/>
        <v>3</v>
      </c>
      <c r="N44" s="98">
        <f t="shared" si="6"/>
        <v>2.575107296137339E-2</v>
      </c>
      <c r="O44" s="98">
        <f t="shared" si="7"/>
        <v>0.12875536480686695</v>
      </c>
    </row>
    <row r="45" spans="1:15" ht="13.5" thickBot="1" x14ac:dyDescent="0.25">
      <c r="A45" s="123" t="s">
        <v>1658</v>
      </c>
      <c r="B45" s="44" t="str">
        <f>IF(LEN(VLOOKUP(A45,'Species List'!$A:$G,2,FALSE))=0,"",VLOOKUP(A45,'Species List'!$A:$G,2,FALSE))</f>
        <v>pointed-leaved tick trefoil</v>
      </c>
      <c r="C45" s="44">
        <f>IF(LEN(VLOOKUP(A45,'Species List'!$A:$G,3,FALSE))=0,"",VLOOKUP(A45,'Species List'!$A:$G,3,FALSE))</f>
        <v>6</v>
      </c>
      <c r="D45" s="99">
        <f t="shared" si="4"/>
        <v>6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/>
      </c>
      <c r="H45" s="44">
        <f>VLOOKUP(A45,'Species List'!$A:$G,7,FALSE)</f>
        <v>0</v>
      </c>
      <c r="J45" s="123" t="s">
        <v>5409</v>
      </c>
      <c r="K45" s="47" t="str">
        <f>VLOOKUP(J45,'Species List'!$H$1:$J$9,2,FALSE)</f>
        <v>&gt;0-1%</v>
      </c>
      <c r="L45" s="47">
        <f>VLOOKUP(K45,'Species List'!$I$1:$N$8,2,FALSE)</f>
        <v>0.5</v>
      </c>
      <c r="M45" s="100">
        <f t="shared" si="5"/>
        <v>0.5</v>
      </c>
      <c r="N45" s="98">
        <f t="shared" si="6"/>
        <v>4.2918454935622317E-3</v>
      </c>
      <c r="O45" s="98">
        <f t="shared" si="7"/>
        <v>2.575107296137339E-2</v>
      </c>
    </row>
    <row r="46" spans="1:15" ht="13.5" thickBot="1" x14ac:dyDescent="0.25">
      <c r="A46" s="123" t="s">
        <v>4554</v>
      </c>
      <c r="B46" s="44" t="str">
        <f>IF(LEN(VLOOKUP(A46,'Species List'!$A:$G,2,FALSE))=0,"",VLOOKUP(A46,'Species List'!$A:$G,2,FALSE))</f>
        <v>red clover</v>
      </c>
      <c r="C46" s="44">
        <f>IF(LEN(VLOOKUP(A46,'Species List'!$A:$G,3,FALSE))=0,"",VLOOKUP(A46,'Species List'!$A:$G,3,FALSE))</f>
        <v>0</v>
      </c>
      <c r="D46" s="99">
        <f t="shared" si="4"/>
        <v>0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Introduced</v>
      </c>
      <c r="G46" s="44" t="str">
        <f>IF(LEN(VLOOKUP(A46,'Species List'!$A:$G,6,FALSE))=0,"",VLOOKUP(A46,'Species List'!$A:$G,6,FALSE))</f>
        <v>FACU+</v>
      </c>
      <c r="H46" s="44">
        <f>VLOOKUP(A46,'Species List'!$A:$G,7,FALSE)</f>
        <v>0</v>
      </c>
      <c r="J46" s="123" t="s">
        <v>5407</v>
      </c>
      <c r="K46" s="47" t="str">
        <f>VLOOKUP(J46,'Species List'!$H$1:$J$9,2,FALSE)</f>
        <v>&gt;1-5%</v>
      </c>
      <c r="L46" s="47">
        <f>VLOOKUP(K46,'Species List'!$I$1:$N$8,2,FALSE)</f>
        <v>3</v>
      </c>
      <c r="M46" s="100">
        <f t="shared" si="5"/>
        <v>3</v>
      </c>
      <c r="N46" s="98">
        <f t="shared" si="6"/>
        <v>2.575107296137339E-2</v>
      </c>
      <c r="O46" s="98">
        <f t="shared" si="7"/>
        <v>0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116.5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5446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4.25" thickTop="1" thickBot="1" x14ac:dyDescent="0.25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ht="13.5" thickBot="1" x14ac:dyDescent="0.25">
      <c r="A12" s="123" t="s">
        <v>1013</v>
      </c>
      <c r="B12" s="44" t="str">
        <f>IF(LEN(VLOOKUP(A12,'Species List'!$A:$G,2,FALSE))=0,"",VLOOKUP(A12,'Species List'!$A:$G,2,FALSE))</f>
        <v>graceful sedge</v>
      </c>
      <c r="C12" s="44">
        <f>IF(LEN(VLOOKUP(A12,'Species List'!$A:$G,3,FALSE))=0,"",VLOOKUP(A12,'Species List'!$A:$G,3,FALSE))</f>
        <v>4</v>
      </c>
      <c r="D12" s="99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FACU*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9">
        <f t="shared" ref="N12:N77" si="2">L12/$L$153</f>
        <v>0.25</v>
      </c>
      <c r="O12" s="109">
        <f t="shared" ref="O12:O78" si="3">D12*N12</f>
        <v>1</v>
      </c>
    </row>
    <row r="13" spans="1:15" ht="13.5" thickBot="1" x14ac:dyDescent="0.25">
      <c r="A13" s="123" t="s">
        <v>5447</v>
      </c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0.25</v>
      </c>
      <c r="O13" s="109" t="e">
        <f t="shared" si="3"/>
        <v>#N/A</v>
      </c>
    </row>
    <row r="14" spans="1:15" ht="13.5" thickBot="1" x14ac:dyDescent="0.25">
      <c r="A14" s="123" t="s">
        <v>1121</v>
      </c>
      <c r="B14" s="44" t="str">
        <f>IF(LEN(VLOOKUP(A14,'Species List'!$A:$G,2,FALSE))=0,"",VLOOKUP(A14,'Species List'!$A:$G,2,FALSE))</f>
        <v>Pennsylvania sedge</v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0.25</v>
      </c>
      <c r="O14" s="108">
        <f t="shared" si="3"/>
        <v>0.75</v>
      </c>
    </row>
    <row r="15" spans="1:15" ht="13.5" thickBot="1" x14ac:dyDescent="0.25">
      <c r="A15" s="123" t="s">
        <v>5448</v>
      </c>
      <c r="B15" s="44" t="e">
        <f>IF(LEN(VLOOKUP(A15,'Species List'!$A:$G,2,FALSE))=0,"",VLOOKUP(A15,'Species List'!$A:$G,2,FALSE))</f>
        <v>#N/A</v>
      </c>
      <c r="C15" s="44">
        <v>0</v>
      </c>
      <c r="D15" s="99">
        <f t="shared" si="0"/>
        <v>0</v>
      </c>
      <c r="E15" s="44" t="s">
        <v>189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0.25</v>
      </c>
      <c r="O15" s="98">
        <f t="shared" si="3"/>
        <v>0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12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17</v>
      </c>
      <c r="C4" s="102">
        <f>COUNTIF(Forbs!$F$12:$F$150,"Native")</f>
        <v>29</v>
      </c>
      <c r="D4" s="102">
        <f>COUNTIF(Grasses!$F$12:$F$151,"Native")</f>
        <v>2</v>
      </c>
      <c r="E4" s="102">
        <f>AVERAGE(B4:D4)</f>
        <v>16</v>
      </c>
      <c r="F4" s="102">
        <f>SUM(B4:D4)</f>
        <v>48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6</v>
      </c>
      <c r="D5" s="102">
        <f>COUNTIF(Grasses!$F12:$F201,"Introduced")</f>
        <v>0</v>
      </c>
      <c r="E5" s="102">
        <f t="shared" ref="E5:E6" si="0">AVERAGE(B5:D5)</f>
        <v>2.6666666666666665</v>
      </c>
      <c r="F5" s="102">
        <f>SUM(B5:D5)</f>
        <v>8</v>
      </c>
    </row>
    <row r="6" spans="1:6" s="81" customFormat="1" ht="21" x14ac:dyDescent="0.35">
      <c r="A6" s="53" t="s">
        <v>5411</v>
      </c>
      <c r="B6" s="102">
        <f>SUM(B4:B5)</f>
        <v>19</v>
      </c>
      <c r="C6" s="102">
        <f>SUM(C4:C5)</f>
        <v>35</v>
      </c>
      <c r="D6" s="102">
        <f>SUM(D4:D5)</f>
        <v>2</v>
      </c>
      <c r="E6" s="102">
        <f t="shared" si="0"/>
        <v>18.666666666666668</v>
      </c>
      <c r="F6" s="102">
        <f>SUM(B6:D6)</f>
        <v>56</v>
      </c>
    </row>
    <row r="7" spans="1:6" ht="18" x14ac:dyDescent="0.25">
      <c r="A7" s="53" t="s">
        <v>4843</v>
      </c>
      <c r="B7" s="102">
        <f>AVERAGEIF(Woody!D12:D152,"&gt;0")</f>
        <v>3.0588235294117645</v>
      </c>
      <c r="C7" s="102">
        <f>AVERAGEIF(Forbs!D12:D152,"&gt;0")</f>
        <v>4.2592592592592595</v>
      </c>
      <c r="D7" s="102">
        <f>AVERAGEIF(Grasses!D12:D152,"&gt;0")</f>
        <v>3.5</v>
      </c>
      <c r="E7" s="102">
        <f>AVERAGE(B7:D7)</f>
        <v>3.6060275962236745</v>
      </c>
      <c r="F7" s="102">
        <f>(SUMIF(Woody!D12:D152,"&gt;0")+SUMIF(Forbs!D12:D152,"&gt;0")+SUMIF(Grasses!D12:D152,"&gt;0"))/(COUNTIF(Woody!D12:D152,"&gt;0")+COUNTIF(Forbs!D12:D152,"&gt;0")+COUNTIF(Grasses!D12:D152,"&gt;0"))</f>
        <v>3.7826086956521738</v>
      </c>
    </row>
    <row r="8" spans="1:6" s="31" customFormat="1" ht="21" x14ac:dyDescent="0.35">
      <c r="A8" s="53" t="s">
        <v>5412</v>
      </c>
      <c r="B8" s="102">
        <f>AVERAGEIF(Woody!D12:D152,"&gt;=0")</f>
        <v>2.736842105263158</v>
      </c>
      <c r="C8" s="102">
        <f>AVERAGEIF(Forbs!D12:D152,"&gt;=0")</f>
        <v>3.2857142857142856</v>
      </c>
      <c r="D8" s="102">
        <f>AVERAGEIF(Grasses!D12:D152,"&gt;=0")</f>
        <v>2.3333333333333335</v>
      </c>
      <c r="E8" s="102">
        <f>AVERAGE(B8:D8)</f>
        <v>2.7852965747702592</v>
      </c>
      <c r="F8" s="102">
        <f>(SUMIF(Woody!D12:D152,"&gt;=0")+SUMIF(Forbs!D12:D152,"&gt;=0")+SUMIF(Grasses!D12:D152,"&gt;=0"))/(COUNTIF(Woody!D12:D152,"&gt;=0")+COUNTIF(Forbs!D12:D152,"&gt;=0")+COUNTIF(Grasses!D12:D152,"&gt;=0"))</f>
        <v>3.0526315789473686</v>
      </c>
    </row>
    <row r="9" spans="1:6" ht="18" x14ac:dyDescent="0.25">
      <c r="A9" s="53" t="s">
        <v>4836</v>
      </c>
      <c r="B9" s="102">
        <f>SQRT(B4)*B7</f>
        <v>12.611852501889313</v>
      </c>
      <c r="C9" s="102">
        <f>SQRT(C4)*C7</f>
        <v>22.93681306742474</v>
      </c>
      <c r="D9" s="102">
        <f>SQRT(D4)*D7</f>
        <v>4.9497474683058327</v>
      </c>
      <c r="E9" s="102">
        <f>SQRT(E4)*E7</f>
        <v>14.424110384894698</v>
      </c>
      <c r="F9" s="102">
        <f>SQRT(F4)*F7</f>
        <v>26.206681784085621</v>
      </c>
    </row>
    <row r="10" spans="1:6" s="82" customFormat="1" ht="21" x14ac:dyDescent="0.35">
      <c r="A10" s="53" t="s">
        <v>5413</v>
      </c>
      <c r="B10" s="102">
        <f>SQRT(B6)*B8</f>
        <v>11.929618161269213</v>
      </c>
      <c r="C10" s="102">
        <f>SQRT(C6)*C8</f>
        <v>19.438547858755882</v>
      </c>
      <c r="D10" s="102">
        <f>SQRT(D6)*D8</f>
        <v>3.2998316455372221</v>
      </c>
      <c r="E10" s="102">
        <f>SQRT(E6)*E8</f>
        <v>12.033856579499755</v>
      </c>
      <c r="F10" s="102">
        <f>SQRT(F6)*F8</f>
        <v>22.843802992935643</v>
      </c>
    </row>
    <row r="11" spans="1:6" ht="18" x14ac:dyDescent="0.25">
      <c r="A11" s="53" t="s">
        <v>4844</v>
      </c>
      <c r="B11" s="102">
        <f>SUMIF(Woody!$M$12:$M$152,"&gt;=0")</f>
        <v>139</v>
      </c>
      <c r="C11" s="102">
        <f>SUMIF(Forbs!$M$12:$M$153,"&gt;=0")</f>
        <v>116.5</v>
      </c>
      <c r="D11" s="102">
        <f>SUMIF(Grasses!$M$12:$M$152,"&gt;=0")</f>
        <v>12</v>
      </c>
      <c r="E11" s="102">
        <f>AVERAGE(B11:D11)</f>
        <v>89.166666666666671</v>
      </c>
      <c r="F11" s="102">
        <f>SUM(B11:D11)</f>
        <v>267.5</v>
      </c>
    </row>
    <row r="12" spans="1:6" ht="18" x14ac:dyDescent="0.25">
      <c r="A12" s="53" t="s">
        <v>5377</v>
      </c>
      <c r="B12" s="102">
        <f>SUMIF(Woody!$F$12:$F$152,"Introduced",Woody!$L$12:$L$152)</f>
        <v>15.5</v>
      </c>
      <c r="C12" s="102">
        <f>SUMIF(Forbs!$F$12:$F$153,"Introduced",Forbs!$L$12:$L$153)</f>
        <v>27.5</v>
      </c>
      <c r="D12" s="102">
        <f>SUMIF(Grasses!$F$12:$F$152,"Introduced",Grasses!$L$12:$L$152)</f>
        <v>0</v>
      </c>
      <c r="E12" s="102">
        <f>AVERAGE(B12:D12)</f>
        <v>14.333333333333334</v>
      </c>
      <c r="F12" s="102">
        <f>SUM(B12:D12)</f>
        <v>43</v>
      </c>
    </row>
    <row r="13" spans="1:6" ht="18.75" thickBot="1" x14ac:dyDescent="0.3">
      <c r="A13" s="54" t="s">
        <v>4845</v>
      </c>
      <c r="B13" s="103">
        <f>B12/B11</f>
        <v>0.11151079136690648</v>
      </c>
      <c r="C13" s="103">
        <f>C12/C11</f>
        <v>0.23605150214592274</v>
      </c>
      <c r="D13" s="103">
        <f>D12/D11</f>
        <v>0</v>
      </c>
      <c r="E13" s="103">
        <f>E12/E11</f>
        <v>0.16074766355140185</v>
      </c>
      <c r="F13" s="103">
        <f>F12/F11</f>
        <v>0.16074766355140188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2.4532374100719427</v>
      </c>
      <c r="C15" s="101">
        <f>SUMIF(Forbs!$O$12:$O$152,"&gt;=0")</f>
        <v>3.0042918454935621</v>
      </c>
      <c r="D15" s="101">
        <f>SUMIF(Grasses!$O$12:$O$152,"&gt;=0")</f>
        <v>1.75</v>
      </c>
      <c r="E15" s="101">
        <f>AVERAGE(B15:D15)</f>
        <v>2.4025097518551681</v>
      </c>
      <c r="F15" s="102">
        <f>SUM(B15:D15)</f>
        <v>7.2075292555655048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2023-01-27T17:26:45Z</dcterms:modified>
</cp:coreProperties>
</file>