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25E28280-FCA5-4DAD-9329-23AD90E186A4}" xr6:coauthVersionLast="45" xr6:coauthVersionMax="45" xr10:uidLastSave="{00000000-0000-0000-0000-000000000000}"/>
  <bookViews>
    <workbookView xWindow="-12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12" i="7" l="1"/>
  <c r="E12" i="7" s="1"/>
  <c r="D6" i="7"/>
  <c r="D9" i="7"/>
  <c r="E4" i="7"/>
  <c r="E9" i="7" s="1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4" i="7"/>
  <c r="F5" i="7"/>
  <c r="L153" i="6"/>
  <c r="F12" i="7" l="1"/>
  <c r="N12" i="6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<sst xmlns="http://schemas.openxmlformats.org/spreadsheetml/2006/main" count="13166" uniqueCount="5450">
  <si>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</si>
  <si>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</si>
  <si>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</si>
  <si>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</si>
  <si>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</si>
  <si>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</si>
  <si>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</si>
  <si>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</si>
  <si>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</si>
  <si>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</si>
  <si>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</si>
  <si>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</si>
  <si>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</si>
  <si>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</si>
  <si>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</si>
  <si>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</si>
  <si>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</si>
  <si>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</si>
  <si>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</si>
  <si>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</si>
  <si>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</si>
  <si>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</si>
  <si>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</si>
  <si>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</si>
  <si>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</si>
  <si>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</si>
  <si>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</si>
  <si>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</si>
  <si>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</si>
  <si>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</si>
  <si>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</si>
  <si>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</si>
  <si>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</si>
  <si>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</si>
  <si>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</si>
  <si>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</si>
  <si>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</si>
  <si>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</si>
  <si>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</si>
  <si>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</si>
  <si>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</si>
  <si>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</si>
  <si>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</si>
  <si>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</si>
  <si>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</si>
  <si>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</si>
  <si>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</si>
  <si>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</si>
  <si>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</si>
  <si>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</si>
  <si>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</si>
  <si>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</si>
  <si>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</si>
  <si>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</si>
  <si>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</si>
  <si>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</si>
  <si>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</si>
  <si>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</si>
  <si>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</si>
  <si>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</si>
  <si>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</si>
  <si>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</si>
  <si>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</si>
  <si>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</si>
  <si>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</si>
  <si>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</si>
  <si>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</si>
  <si>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</si>
  <si>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</si>
  <si>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</si>
  <si>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</si>
  <si>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</si>
  <si>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</si>
  <si>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</si>
  <si>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</si>
  <si>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</si>
  <si>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</si>
  <si>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</si>
  <si>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</si>
  <si>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</si>
  <si>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</si>
  <si>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</si>
  <si>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</si>
  <si>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</si>
  <si>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</si>
  <si>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</si>
  <si>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</si>
  <si>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</si>
  <si>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</si>
  <si>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</si>
  <si>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</si>
  <si>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</si>
  <si>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</si>
  <si>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</si>
  <si>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</si>
  <si>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</si>
  <si>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</si>
  <si>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</si>
  <si>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</si>
  <si>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</si>
  <si>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</si>
  <si>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</si>
  <si>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</si>
  <si>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</si>
  <si>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</si>
  <si>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</si>
  <si>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</si>
  <si>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</si>
  <si>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</si>
  <si>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</si>
  <si>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</si>
  <si>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</si>
  <si>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</si>
  <si>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</si>
  <si>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</si>
  <si>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</si>
  <si>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</si>
  <si>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</si>
  <si>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</si>
  <si>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</si>
  <si>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</si>
  <si>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</si>
  <si>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</si>
  <si>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</si>
  <si>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</si>
  <si>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</si>
  <si>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</si>
  <si>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</si>
  <si>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</si>
  <si>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</si>
  <si>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</si>
  <si>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</si>
  <si>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</si>
  <si>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</si>
  <si>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</si>
  <si>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</si>
  <si>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</si>
  <si>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</si>
  <si>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</si>
  <si>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</si>
  <si>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</si>
  <si>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</si>
  <si>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</si>
  <si>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</si>
  <si>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</si>
  <si>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</si>
  <si>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</si>
  <si>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</si>
  <si>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</si>
  <si>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</si>
  <si>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</si>
  <si>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</si>
  <si>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</si>
  <si>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</si>
  <si>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</si>
  <si>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</si>
  <si>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</si>
  <si>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</si>
  <si>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</si>
  <si>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</si>
  <si>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</si>
  <si>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</si>
  <si>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</si>
  <si>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</si>
  <si>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</si>
  <si>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</si>
  <si>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</si>
  <si>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</si>
  <si>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</si>
  <si>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</si>
  <si>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</si>
  <si>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</si>
  <si>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</si>
  <si>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</si>
  <si>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</si>
  <si>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</si>
  <si>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</si>
  <si>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</si>
  <si>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</si>
  <si>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</si>
  <si>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</si>
  <si>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</si>
  <si>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</si>
  <si>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</si>
  <si>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</si>
  <si>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</si>
  <si>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</si>
  <si>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</si>
  <si>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</si>
  <si>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</si>
  <si>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</si>
  <si>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</si>
  <si>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</si>
  <si>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</si>
  <si>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</si>
  <si>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</si>
  <si>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</si>
  <si>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</si>
  <si>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</si>
  <si>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</si>
  <si>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</si>
  <si>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</si>
  <si>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</si>
  <si>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</si>
  <si>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</si>
  <si>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</si>
  <si>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</si>
  <si>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</si>
  <si>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</si>
  <si>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</si>
  <si>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</si>
  <si>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</si>
  <si>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</si>
  <si>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</si>
  <si>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</si>
  <si>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</si>
  <si>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</si>
  <si>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</si>
  <si>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</si>
  <si>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</si>
  <si>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</si>
  <si>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</si>
  <si>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</si>
  <si>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</si>
  <si>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</si>
  <si>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</si>
  <si>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</si>
  <si>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</si>
  <si>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</si>
  <si>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</si>
  <si>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</si>
  <si>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</si>
  <si>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</si>
  <si>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</si>
  <si>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</si>
  <si>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</si>
  <si>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</si>
  <si>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</si>
  <si>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</si>
  <si>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</si>
  <si>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</si>
  <si>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</si>
  <si>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</si>
  <si>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</si>
  <si>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</si>
  <si>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</si>
  <si>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</si>
  <si>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</si>
  <si>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</si>
  <si>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</si>
  <si>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</si>
  <si>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</si>
  <si>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</si>
  <si>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</si>
  <si>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</si>
  <si>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</si>
  <si>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</si>
  <si>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</si>
  <si>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</si>
  <si>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</si>
  <si>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</si>
  <si>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</si>
  <si>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</si>
  <si>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</si>
  <si>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</si>
  <si>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</si>
  <si>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</si>
  <si>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</si>
  <si>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</si>
  <si>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</si>
  <si>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</si>
  <si>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</si>
  <si>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</si>
  <si>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</si>
  <si>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</si>
  <si>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</si>
  <si>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</si>
  <si>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</si>
  <si>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</si>
  <si>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</si>
  <si>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</si>
  <si>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</si>
  <si>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</si>
  <si>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</si>
  <si>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</si>
  <si>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</si>
  <si>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</si>
  <si>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</si>
  <si>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</si>
  <si>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</si>
  <si>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</si>
  <si>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</si>
  <si>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</si>
  <si>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</si>
  <si>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</si>
  <si>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</si>
  <si>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</si>
  <si>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</si>
  <si>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</si>
  <si>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</si>
  <si>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</si>
  <si>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</si>
  <si>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</si>
  <si>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</si>
  <si>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</si>
  <si>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</si>
  <si>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</si>
  <si>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</si>
  <si>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</si>
  <si>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</si>
  <si>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</si>
  <si>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</si>
  <si>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</si>
  <si>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</si>
  <si>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</si>
  <si>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</si>
  <si>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</si>
  <si>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</si>
  <si>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</si>
  <si>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</si>
  <si>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</si>
  <si>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</si>
  <si>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</si>
  <si>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</si>
  <si>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</si>
  <si>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</si>
  <si>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</si>
  <si>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</si>
  <si>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</si>
  <si>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</si>
  <si>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</si>
  <si>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</si>
  <si>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</si>
  <si>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</si>
  <si>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</si>
  <si>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</si>
  <si>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</si>
  <si>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</si>
  <si>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</si>
  <si>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</si>
  <si>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</si>
  <si>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</si>
  <si>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</si>
  <si>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</si>
  <si>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</si>
  <si>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</si>
  <si>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</si>
  <si>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</si>
  <si>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</si>
  <si>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</si>
  <si>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</si>
  <si>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</si>
  <si>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</si>
  <si>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</si>
  <si>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</si>
  <si>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</si>
  <si>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</si>
  <si>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</si>
  <si>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</si>
  <si>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</si>
  <si>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</si>
  <si>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</si>
  <si>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</si>
  <si>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</si>
  <si>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</si>
  <si>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</si>
  <si>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</si>
  <si>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</si>
  <si>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</si>
  <si>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</si>
  <si>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</si>
  <si>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</si>
  <si>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</si>
  <si>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</si>
  <si>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</si>
  <si>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</si>
  <si>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</si>
  <si>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</si>
  <si>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</si>
  <si>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</si>
  <si>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</si>
  <si>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</si>
  <si>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</si>
  <si>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</si>
  <si>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</si>
  <si>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</si>
  <si>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</si>
  <si>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</si>
  <si>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</si>
  <si>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</si>
  <si>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</si>
  <si>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</si>
  <si>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</si>
  <si>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</si>
  <si>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</si>
  <si>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</si>
  <si>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</si>
  <si>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</si>
  <si>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</si>
  <si>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</si>
  <si>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</si>
  <si>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</si>
  <si>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</si>
  <si>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</si>
  <si>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</si>
  <si>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</si>
  <si>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</si>
  <si>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</si>
  <si>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</si>
  <si>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</si>
  <si>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</si>
  <si>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</si>
  <si>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</si>
  <si>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</si>
  <si>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</si>
  <si>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</si>
  <si>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</si>
  <si>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</si>
  <si>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</si>
  <si>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</si>
  <si>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</si>
  <si>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</si>
  <si>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</si>
  <si>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</si>
  <si>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</si>
  <si>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</si>
  <si>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</si>
  <si>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</si>
  <si>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</si>
  <si>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</si>
  <si>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</si>
  <si>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</si>
  <si>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</si>
  <si>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</si>
  <si>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</si>
  <si>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</si>
  <si>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</si>
  <si>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</si>
  <si>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</si>
  <si>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</si>
  <si>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</si>
  <si>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</si>
  <si>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</si>
  <si>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</si>
  <si>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</si>
  <si>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</si>
  <si>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</si>
  <si>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</si>
  <si>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</si>
  <si>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</si>
  <si>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</si>
  <si>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</si>
  <si>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</si>
  <si>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</si>
  <si>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</si>
  <si>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</si>
  <si>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</si>
  <si>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</si>
  <si>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</si>
  <si>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</si>
  <si>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</si>
  <si>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</si>
  <si>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</si>
  <si>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</si>
  <si>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</si>
  <si>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</si>
  <si>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</si>
  <si>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</si>
  <si>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</si>
  <si>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</si>
  <si>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</si>
  <si>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</si>
  <si>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</si>
  <si>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</si>
  <si>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</si>
  <si>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</si>
  <si>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</si>
  <si>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</si>
  <si>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</si>
  <si>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</si>
  <si>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</si>
  <si>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</si>
  <si>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</si>
  <si>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</si>
  <si>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</si>
  <si>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</si>
  <si>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</si>
  <si>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</si>
  <si>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</si>
  <si>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</si>
  <si>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</si>
  <si>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</si>
  <si>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</si>
  <si>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</si>
  <si>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</si>
  <si>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</si>
  <si>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</si>
  <si>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</si>
  <si>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</si>
  <si>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</si>
  <si>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</si>
  <si>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</si>
  <si>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</si>
  <si>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</si>
  <si>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</si>
  <si>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</si>
  <si>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</si>
  <si>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</si>
  <si>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</si>
  <si>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</si>
  <si>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</si>
  <si>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</si>
  <si>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</si>
  <si>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</si>
  <si>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</si>
  <si>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</si>
  <si>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</si>
  <si>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</si>
  <si>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</si>
  <si>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</si>
  <si>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</si>
  <si>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</si>
  <si>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</si>
  <si>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</si>
  <si>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</si>
  <si>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</si>
  <si>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</si>
  <si>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</si>
  <si>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</si>
  <si>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</si>
  <si>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</si>
  <si>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</si>
  <si>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</si>
  <si>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</si>
  <si>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</si>
  <si>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</si>
  <si>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</si>
  <si>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</si>
  <si>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</si>
  <si>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</si>
  <si>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</si>
  <si>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</si>
  <si>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</si>
  <si>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</si>
  <si>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</si>
  <si>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</si>
  <si>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</si>
  <si>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</si>
  <si>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</si>
  <si>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</si>
  <si>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</si>
  <si>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</si>
  <si>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</si>
  <si>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</si>
  <si>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</si>
  <si>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</si>
  <si>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</si>
  <si>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</si>
  <si>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</si>
  <si>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</si>
  <si>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</si>
  <si>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</si>
  <si>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</si>
  <si>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</si>
  <si>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</si>
  <si>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</si>
  <si>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</si>
  <si>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</si>
  <si>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</si>
  <si>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</si>
  <si>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</si>
  <si>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</si>
  <si>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</si>
  <si>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</si>
  <si>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</si>
  <si>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</si>
  <si>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</si>
  <si>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</si>
  <si>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</si>
  <si>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</si>
  <si>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</si>
  <si>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</si>
  <si>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</si>
  <si>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</si>
  <si>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</si>
  <si>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</si>
  <si>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</si>
  <si>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</si>
  <si>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</si>
  <si>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</si>
  <si>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</si>
  <si>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</si>
  <si>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</si>
  <si>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</si>
  <si>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</si>
  <si>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</si>
  <si>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</si>
  <si>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</si>
  <si>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</si>
  <si>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</si>
  <si>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</si>
  <si>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</si>
  <si>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</si>
  <si>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</si>
  <si>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</si>
  <si>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</si>
  <si>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</si>
  <si>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</si>
  <si>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</si>
  <si>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</si>
  <si>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</si>
  <si>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</si>
  <si>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</si>
  <si>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</si>
  <si>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</si>
  <si>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</si>
  <si>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</si>
  <si>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</si>
  <si>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</si>
  <si>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</si>
  <si>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</si>
  <si>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</si>
  <si>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</si>
  <si>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</si>
  <si>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</si>
  <si>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</si>
  <si>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</si>
  <si>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</si>
  <si>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</si>
  <si>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</si>
  <si>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</si>
  <si>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</si>
  <si>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</si>
  <si>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</si>
  <si>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</si>
  <si>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</si>
  <si>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</si>
  <si>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</si>
  <si>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</si>
  <si>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</si>
  <si>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</si>
  <si>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</si>
  <si>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</si>
  <si>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</si>
  <si>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</si>
  <si>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</si>
  <si>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</si>
  <si>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</si>
  <si>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</si>
  <si>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</si>
  <si>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</si>
  <si>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</si>
  <si>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</si>
  <si>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</si>
  <si>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</si>
  <si>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</si>
  <si>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</si>
  <si>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</si>
  <si>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</si>
  <si>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</si>
  <si>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</si>
  <si>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</si>
  <si>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</si>
  <si>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</si>
  <si>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</si>
  <si>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</si>
  <si>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</si>
  <si>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</si>
  <si>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</si>
  <si>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</si>
  <si>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</si>
  <si>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</si>
  <si>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</si>
  <si>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</si>
  <si>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</si>
  <si>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</si>
  <si>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</si>
  <si>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</si>
  <si>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</si>
  <si>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</si>
  <si>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</si>
  <si>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</si>
  <si>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</si>
  <si>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</si>
  <si>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</si>
  <si>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</si>
  <si>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</si>
  <si>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</si>
  <si>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</si>
  <si>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</si>
  <si>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</si>
  <si>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</si>
  <si>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</si>
  <si>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</si>
  <si>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</si>
  <si>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</si>
  <si>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</si>
  <si>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</si>
  <si>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</si>
  <si>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</si>
  <si>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</si>
  <si>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</si>
  <si>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</si>
  <si>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</si>
  <si>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</si>
  <si>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</si>
  <si>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</si>
  <si>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</si>
  <si>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</si>
  <si>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</si>
  <si>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</si>
  <si>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</si>
  <si>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</si>
  <si>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</si>
  <si>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</si>
  <si>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</si>
  <si>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</si>
  <si>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</si>
  <si>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</si>
  <si>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</si>
  <si>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</si>
  <si>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</si>
  <si>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</si>
  <si>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</si>
  <si>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</si>
  <si>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</si>
  <si>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</si>
  <si>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</si>
  <si>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</si>
  <si>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</si>
  <si>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</si>
  <si>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</si>
  <si>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</si>
  <si>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</si>
  <si>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</si>
  <si>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</si>
  <si>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</si>
  <si>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</si>
  <si>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</si>
  <si>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</si>
  <si>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</si>
  <si>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</si>
  <si>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</si>
  <si>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</si>
  <si>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</si>
  <si>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</si>
  <si>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</si>
  <si>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</si>
  <si>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</si>
  <si>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</si>
  <si>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</si>
  <si>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</si>
  <si>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</si>
  <si>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</si>
  <si>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</si>
  <si>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</si>
  <si>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</si>
  <si>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</si>
  <si>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</si>
  <si>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</si>
  <si>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</si>
  <si>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</si>
  <si>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</si>
  <si>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</si>
  <si>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</si>
  <si>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</si>
  <si>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</si>
  <si>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</si>
  <si>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</si>
  <si>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</si>
  <si>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</si>
  <si>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</si>
  <si>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</si>
  <si>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</si>
  <si>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</si>
  <si>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</si>
  <si>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</si>
  <si>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</si>
  <si>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</si>
  <si>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</si>
  <si>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</si>
  <si>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</si>
  <si>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</si>
  <si>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</si>
  <si>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</si>
  <si>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</si>
  <si>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</si>
  <si>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</si>
  <si>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</si>
  <si>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</si>
  <si>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</si>
  <si>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</si>
  <si>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</si>
  <si>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</si>
  <si>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</si>
  <si>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</si>
  <si>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</si>
  <si>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</si>
  <si>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</si>
  <si>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</si>
  <si>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</si>
  <si>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</si>
  <si>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</si>
  <si>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</si>
  <si>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</si>
  <si>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</si>
  <si>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</si>
  <si>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</si>
  <si>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</si>
  <si>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</si>
  <si>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</si>
  <si>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</si>
  <si>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</si>
  <si>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</si>
  <si>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</si>
  <si>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</si>
  <si>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</si>
  <si>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</si>
  <si>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</si>
  <si>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</si>
  <si>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</si>
  <si>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</si>
  <si>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</si>
  <si>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</si>
  <si>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</si>
  <si>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</si>
  <si>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</si>
  <si>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</si>
  <si>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</si>
  <si>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</si>
  <si>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</si>
  <si>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</si>
  <si>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</si>
  <si>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</si>
  <si>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</si>
  <si>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</si>
  <si>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</si>
  <si>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</si>
  <si>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</si>
  <si>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</si>
  <si>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</si>
  <si>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</si>
  <si>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</si>
  <si>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</si>
  <si>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</si>
  <si>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</si>
  <si>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</si>
  <si>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</si>
  <si>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</si>
  <si>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</si>
  <si>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</si>
  <si>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</si>
  <si>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</si>
  <si>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</si>
  <si>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</si>
  <si>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</si>
  <si>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</si>
  <si>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</si>
  <si>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</si>
  <si>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</si>
  <si>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</si>
  <si>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</si>
  <si>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</si>
  <si>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</si>
  <si>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</si>
  <si>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</si>
  <si>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</si>
  <si>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</si>
  <si>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</si>
  <si>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</si>
  <si>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</si>
  <si>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</si>
  <si>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</si>
  <si>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</si>
  <si>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</si>
  <si>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</si>
  <si>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</si>
  <si>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</si>
  <si>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</si>
  <si>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</si>
  <si>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</si>
  <si>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</si>
  <si>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</si>
  <si>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</si>
  <si>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</si>
  <si>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</si>
  <si>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</si>
  <si>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</si>
  <si>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</si>
  <si>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</si>
  <si>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</si>
  <si>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</si>
  <si>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</si>
  <si>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</si>
  <si>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</si>
  <si>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</si>
  <si>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</si>
  <si>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</si>
  <si>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</si>
  <si>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</si>
  <si>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</si>
  <si>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</si>
  <si>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</si>
  <si>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</si>
  <si>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</si>
  <si>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</si>
  <si>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</si>
  <si>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</si>
  <si>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</si>
  <si>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</si>
  <si>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</si>
  <si>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</si>
  <si>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</si>
  <si>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</si>
  <si>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</si>
  <si>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</si>
  <si>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</si>
  <si>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</si>
  <si>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</si>
  <si>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</si>
  <si>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</si>
  <si>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</si>
  <si>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</si>
  <si>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</si>
  <si>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</si>
  <si>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</si>
  <si>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</si>
  <si>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</si>
  <si>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</si>
  <si>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</si>
  <si>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</si>
  <si>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</si>
  <si>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</si>
  <si>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</si>
  <si>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</si>
  <si>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</si>
  <si>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</si>
  <si>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</si>
  <si>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</si>
  <si>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</si>
  <si>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</si>
  <si>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</si>
  <si>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</si>
  <si>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</si>
  <si>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</si>
  <si>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</si>
  <si>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</si>
  <si>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</si>
  <si>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</si>
  <si>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</si>
  <si>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</si>
  <si>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</si>
  <si>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</si>
  <si>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</si>
  <si>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</si>
  <si>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</si>
  <si>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</si>
  <si>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</si>
  <si>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</si>
  <si>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</si>
  <si>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</si>
  <si>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</si>
  <si>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</si>
  <si>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</si>
  <si>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</si>
  <si>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</si>
  <si>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</si>
  <si>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</si>
  <si>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</si>
  <si>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</si>
  <si>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</si>
  <si>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</si>
  <si>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</si>
  <si>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</si>
  <si>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</si>
  <si>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</si>
  <si>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</si>
  <si>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</si>
  <si>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</si>
  <si>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</si>
  <si>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</si>
  <si>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</si>
  <si>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</si>
  <si>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</si>
  <si>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</si>
  <si>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</si>
  <si>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</si>
  <si>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</si>
  <si>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</si>
  <si>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</si>
  <si>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</si>
  <si>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</si>
  <si>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</si>
  <si>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</si>
  <si>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</si>
  <si>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</si>
  <si>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</si>
  <si>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</si>
  <si>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</si>
  <si>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</si>
  <si>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</si>
  <si>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</si>
  <si>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</si>
  <si>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</si>
  <si>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</si>
  <si>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</si>
  <si>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</si>
  <si>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</si>
  <si>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</si>
  <si>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</si>
  <si>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</si>
  <si>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</si>
  <si>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</si>
  <si>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</si>
  <si>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</si>
  <si>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</si>
  <si>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</si>
  <si>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</si>
  <si>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</si>
  <si>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</si>
  <si>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</si>
  <si>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</si>
  <si>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</si>
  <si>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</si>
  <si>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</si>
  <si>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</si>
  <si>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</si>
  <si>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</si>
  <si>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</si>
  <si>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</si>
  <si>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</si>
  <si>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</si>
  <si>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</si>
  <si>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</si>
  <si>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</si>
  <si>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</si>
  <si>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</si>
  <si>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</si>
  <si>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</si>
  <si>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</si>
  <si>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</si>
  <si>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</si>
  <si>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</si>
  <si>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</si>
  <si>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</si>
  <si>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</si>
  <si>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</si>
  <si>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</si>
  <si>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</si>
  <si>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</si>
  <si>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</si>
  <si>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</si>
  <si>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</si>
  <si>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</si>
  <si>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</si>
  <si>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</si>
  <si>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</si>
  <si>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</si>
  <si>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</si>
  <si>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</si>
  <si>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</si>
  <si>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</si>
  <si>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</si>
  <si>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</si>
  <si>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</si>
  <si>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</si>
  <si>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</si>
  <si>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</si>
  <si>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</si>
  <si>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</si>
  <si>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</si>
  <si>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</si>
  <si>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</si>
  <si>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</si>
  <si>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</si>
  <si>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</si>
  <si>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</si>
  <si>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</si>
  <si>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</si>
  <si>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</si>
  <si>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</si>
  <si>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</si>
  <si>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</si>
  <si>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</si>
  <si>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</si>
  <si>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</si>
  <si>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</si>
  <si>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</si>
  <si>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</si>
  <si>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</si>
  <si>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</si>
  <si>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</si>
  <si>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</si>
  <si>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</si>
  <si>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</si>
  <si>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</si>
  <si>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</si>
  <si>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</si>
  <si>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</si>
  <si>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</si>
  <si>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</si>
  <si>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</si>
  <si>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</si>
  <si>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</si>
  <si>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</si>
  <si>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</si>
  <si>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</si>
  <si>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</si>
  <si>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</si>
  <si>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</si>
  <si>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</si>
  <si>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</si>
  <si>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</si>
  <si>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</si>
  <si>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</si>
  <si>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</si>
  <si>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</si>
  <si>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</si>
  <si>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</si>
  <si>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</si>
  <si>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</si>
  <si>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</si>
  <si>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</si>
  <si>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</si>
  <si>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</si>
  <si>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</si>
  <si>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</si>
  <si>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</si>
  <si>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</si>
  <si>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</si>
  <si>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</si>
  <si>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</si>
  <si>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</si>
  <si>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</si>
  <si>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</si>
  <si>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</si>
  <si>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</si>
  <si>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</si>
  <si>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</si>
  <si>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</si>
  <si>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</si>
  <si>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</si>
  <si>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</si>
  <si>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</si>
  <si>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</si>
  <si>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</si>
  <si>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</si>
  <si>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</si>
  <si>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</si>
  <si>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</si>
  <si>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</si>
  <si>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</si>
  <si>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</si>
  <si>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</si>
  <si>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</si>
  <si>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</si>
  <si>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</si>
  <si>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</si>
  <si>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</si>
  <si>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</si>
  <si>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</si>
  <si>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</si>
  <si>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</si>
  <si>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</si>
  <si>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</si>
  <si>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</si>
  <si>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</si>
  <si>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</si>
  <si>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</si>
  <si>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</si>
  <si>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</si>
  <si>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</si>
  <si>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</si>
  <si>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</si>
  <si>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</si>
  <si>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</si>
  <si>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</si>
  <si>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</si>
  <si>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</si>
  <si>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</si>
  <si>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</si>
  <si>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</si>
  <si>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</si>
  <si>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</si>
  <si>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</si>
  <si>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</si>
  <si>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</si>
  <si>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</si>
  <si>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</si>
  <si>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</si>
  <si>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</si>
  <si>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</si>
  <si>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</si>
  <si>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</si>
  <si>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</si>
  <si>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</si>
  <si>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</si>
  <si>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</si>
  <si>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</si>
  <si>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</si>
  <si>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</si>
  <si>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</si>
  <si>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</si>
  <si>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</si>
  <si>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</si>
  <si>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</si>
  <si>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</si>
  <si>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</si>
  <si>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</si>
  <si>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</si>
  <si>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</si>
  <si>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</si>
  <si>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</si>
  <si>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</si>
  <si>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</si>
  <si>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</si>
  <si>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</si>
  <si>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</si>
  <si>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</si>
  <si>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</si>
  <si>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</si>
  <si>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</si>
  <si>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</si>
  <si>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</si>
  <si>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</si>
  <si>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</si>
  <si>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</si>
  <si>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</si>
  <si>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</si>
  <si>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</si>
  <si>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</si>
  <si>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</si>
  <si>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</si>
  <si>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</si>
  <si>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</si>
  <si>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</si>
  <si>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</si>
  <si>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</si>
  <si>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</si>
  <si>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</si>
  <si>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</si>
  <si>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</si>
  <si>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</si>
  <si>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</si>
  <si>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</si>
  <si>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</si>
  <si>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</si>
  <si>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</si>
  <si>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</si>
  <si>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</si>
  <si>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</si>
  <si>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</si>
  <si>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</si>
  <si>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</si>
  <si>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</si>
  <si>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</si>
  <si>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</si>
  <si>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</si>
  <si>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</si>
  <si>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</si>
  <si>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</si>
  <si>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</si>
  <si>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</si>
  <si>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</si>
  <si>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</si>
  <si>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</si>
  <si>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</si>
  <si>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</si>
  <si>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</si>
  <si>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</si>
  <si>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</si>
  <si>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</si>
  <si>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</si>
  <si>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</si>
  <si>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</si>
  <si>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</si>
  <si>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</si>
  <si>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</si>
  <si>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</si>
  <si>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</si>
  <si>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</si>
  <si>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</si>
  <si>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</si>
  <si>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</si>
  <si>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</si>
  <si>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</si>
  <si>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</si>
  <si>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</si>
  <si>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</si>
  <si>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</si>
  <si>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</si>
  <si>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</si>
  <si>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</si>
  <si>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</si>
  <si>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</si>
  <si>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</si>
  <si>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</si>
  <si>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</si>
  <si>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</si>
  <si>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</si>
  <si>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</si>
  <si>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</si>
  <si>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</si>
  <si>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</si>
  <si>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</si>
  <si>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</si>
  <si>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</si>
  <si>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</si>
  <si>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</si>
  <si>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</si>
  <si>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</si>
  <si>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</si>
  <si>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</si>
  <si>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</si>
  <si>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</si>
  <si>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</si>
  <si>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</si>
  <si>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</si>
  <si>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</si>
  <si>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</si>
  <si>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</si>
  <si>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</si>
  <si>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</si>
  <si>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</si>
  <si>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</si>
  <si>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</si>
  <si>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</si>
  <si>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</si>
  <si>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</si>
  <si>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</si>
  <si>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</si>
  <si>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</si>
  <si>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</si>
  <si>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</si>
  <si>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</si>
  <si>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</si>
  <si>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</si>
  <si>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</si>
  <si>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</si>
  <si>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</si>
  <si>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</si>
  <si>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</si>
  <si>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</si>
  <si>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</si>
  <si>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</si>
  <si>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</si>
  <si>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</si>
  <si>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</si>
  <si>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</si>
  <si>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</si>
  <si>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</si>
  <si>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</si>
  <si>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</si>
  <si>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</si>
  <si>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</si>
  <si>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</si>
  <si>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</si>
  <si>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</si>
  <si>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</si>
  <si>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</si>
  <si>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</si>
  <si>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</si>
  <si>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</si>
  <si>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</si>
  <si>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</si>
  <si>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</si>
  <si>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</si>
  <si>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</si>
  <si>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</si>
  <si>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</si>
  <si>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</si>
  <si>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</si>
  <si>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</si>
  <si>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</si>
  <si>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</si>
  <si>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</si>
  <si>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</si>
  <si>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</si>
  <si>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</si>
  <si>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</si>
  <si>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</si>
  <si>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</si>
  <si>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</si>
  <si>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</si>
  <si>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</si>
  <si>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</si>
  <si>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</si>
  <si>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</si>
  <si>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</si>
  <si>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</si>
  <si>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</si>
  <si>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</si>
  <si>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</si>
  <si>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</si>
  <si>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</si>
  <si>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</si>
  <si>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</si>
  <si>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</si>
  <si>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</si>
  <si>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</si>
  <si>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</si>
  <si>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</si>
  <si>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</si>
  <si>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</si>
  <si>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</si>
  <si>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</si>
  <si>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</si>
  <si>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</si>
  <si>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</si>
  <si>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</si>
  <si>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</si>
  <si>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</si>
  <si>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</si>
  <si>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</si>
  <si>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</si>
  <si>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</si>
  <si>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</si>
  <si>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</si>
  <si>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</si>
  <si>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</si>
  <si>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</si>
  <si>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</si>
  <si>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</si>
  <si>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</si>
  <si>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</si>
  <si>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</si>
  <si>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</si>
  <si>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</si>
  <si>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</si>
  <si>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</si>
  <si>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</si>
  <si>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</si>
  <si>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</si>
  <si>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</si>
  <si>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</si>
  <si>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</si>
  <si>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</si>
  <si>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</si>
  <si>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</si>
  <si>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</si>
  <si>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</si>
  <si>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</si>
  <si>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</si>
  <si>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</si>
  <si>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</si>
  <si>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</si>
  <si>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</si>
  <si>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</si>
  <si>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</si>
  <si>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</si>
  <si>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</si>
  <si>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</si>
  <si>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</si>
  <si>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</si>
  <si>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</si>
  <si>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</si>
  <si>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</si>
  <si>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</si>
  <si>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</si>
  <si>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</si>
  <si>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</si>
  <si>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</si>
  <si>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</si>
  <si>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</si>
  <si>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</si>
  <si>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</si>
  <si>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</si>
  <si>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</si>
  <si>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</si>
  <si>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</si>
  <si>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</si>
  <si>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</si>
  <si>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</si>
  <si>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</si>
  <si>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</si>
  <si>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</si>
  <si>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</si>
  <si>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</si>
  <si>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</si>
  <si>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</si>
  <si>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</si>
  <si>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</si>
  <si>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</si>
  <si>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</si>
  <si>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</si>
  <si>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</si>
  <si>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</si>
  <si>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</si>
  <si>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</si>
  <si>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</si>
  <si>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</si>
  <si>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</si>
  <si>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</si>
  <si>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</si>
  <si>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</si>
  <si>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</si>
  <si>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</si>
  <si>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</si>
  <si>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</si>
  <si>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</si>
  <si>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</si>
  <si>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</si>
  <si>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</si>
  <si>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</si>
  <si>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</si>
  <si>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</si>
  <si>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</si>
  <si>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</si>
  <si>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</si>
  <si>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</si>
  <si>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</si>
  <si>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</si>
  <si>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</si>
  <si>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</si>
  <si>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</si>
  <si>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</si>
  <si>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</si>
  <si>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</si>
  <si>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</si>
  <si>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</si>
  <si>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</si>
  <si>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</si>
  <si>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</si>
  <si>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</si>
  <si>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</si>
  <si>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</si>
  <si>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</si>
  <si>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</si>
  <si>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</si>
  <si>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</si>
  <si>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</si>
  <si>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</si>
  <si>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</si>
  <si>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</si>
  <si>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</si>
  <si>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</si>
  <si>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</si>
  <si>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</si>
  <si>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</si>
  <si>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</si>
  <si>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</si>
  <si>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</si>
  <si>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</si>
  <si>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</si>
  <si>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</si>
  <si>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</si>
  <si>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</si>
  <si>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</si>
  <si>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</si>
  <si>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</si>
  <si>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</si>
  <si>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</si>
  <si>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</si>
  <si>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</si>
  <si>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</si>
  <si>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</si>
  <si>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</si>
  <si>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</si>
  <si>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</si>
  <si>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</si>
  <si>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</si>
  <si>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</si>
  <si>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</si>
  <si>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</si>
  <si>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</si>
  <si>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</si>
  <si>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</si>
  <si>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</si>
  <si>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</si>
  <si>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</si>
  <si>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</si>
  <si>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</si>
  <si>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</si>
  <si>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</si>
  <si>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</si>
  <si>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</si>
  <si>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</si>
  <si>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</si>
  <si>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</si>
  <si>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</si>
  <si>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</si>
  <si>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</si>
  <si>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</si>
  <si>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</si>
  <si>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</si>
  <si>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</si>
  <si>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</si>
  <si>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</si>
  <si>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</si>
  <si>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</si>
  <si>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</si>
  <si>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</si>
  <si>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</si>
  <si>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</si>
  <si>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</si>
  <si>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</si>
  <si>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</si>
  <si>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</si>
  <si>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</si>
  <si>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</si>
  <si>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</si>
  <si>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</si>
  <si>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</si>
  <si>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</si>
  <si>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</si>
  <si>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</si>
  <si>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</si>
  <si>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</si>
  <si>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</si>
  <si>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</si>
  <si>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</si>
  <si>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</si>
  <si>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</si>
  <si>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</si>
  <si>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</si>
  <si>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</si>
  <si>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</si>
  <si>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</si>
  <si>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</si>
  <si>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</si>
  <si>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</si>
  <si>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</si>
  <si>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</si>
  <si>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</si>
  <si>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</si>
  <si>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</si>
  <si>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</si>
  <si>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</si>
  <si>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</si>
  <si>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</si>
  <si>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</si>
  <si>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</si>
  <si>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</si>
  <si>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</si>
  <si>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</si>
  <si>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</si>
  <si>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</si>
  <si>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</si>
  <si>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</si>
  <si>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</si>
  <si>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</si>
  <si>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</si>
  <si>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</si>
  <si>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</si>
  <si>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</si>
  <si>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</si>
  <si>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</si>
  <si>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</si>
  <si>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</si>
  <si>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</si>
  <si>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</si>
  <si>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</si>
  <si>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</si>
  <si>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</si>
  <si>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</si>
  <si>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</si>
  <si>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</si>
  <si>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</si>
  <si>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</si>
  <si>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</si>
  <si>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</si>
  <si>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</si>
  <si>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</si>
  <si>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</si>
  <si>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</si>
  <si>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</si>
  <si>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</si>
  <si>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</si>
  <si>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</si>
  <si>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</si>
  <si>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</si>
  <si>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</si>
  <si>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</si>
  <si>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</si>
  <si>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</si>
  <si>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</si>
  <si>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</si>
  <si>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</si>
  <si>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</si>
  <si>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</si>
  <si>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</si>
  <si>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</si>
  <si>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</si>
  <si>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</si>
  <si>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</si>
  <si>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</si>
  <si>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</si>
  <si>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</si>
  <si>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</si>
  <si>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</si>
  <si>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</si>
  <si>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</si>
  <si>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</si>
  <si>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</si>
  <si>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</si>
  <si>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</si>
  <si>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</si>
  <si>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</si>
  <si>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</si>
  <si>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</si>
  <si>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</si>
  <si>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</si>
  <si>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</si>
  <si>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</si>
  <si>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</si>
  <si>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</si>
  <si>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</si>
  <si>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</si>
  <si>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</si>
  <si>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</si>
  <si>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</si>
  <si>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</si>
  <si>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</si>
  <si>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</si>
  <si>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</si>
  <si>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</si>
  <si>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</si>
  <si>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</si>
  <si>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</si>
  <si>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</si>
  <si>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</si>
  <si>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</si>
  <si>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</si>
  <si>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</si>
  <si>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</si>
  <si>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</si>
  <si>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</si>
  <si>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</si>
  <si>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</si>
  <si>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</si>
  <si>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</si>
  <si>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</si>
  <si>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</si>
  <si>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</si>
  <si>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</si>
  <si>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</si>
  <si>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</si>
  <si>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</si>
  <si>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</si>
  <si>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</si>
  <si>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</si>
  <si>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</si>
  <si>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</si>
  <si>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</si>
  <si>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</si>
  <si>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</si>
  <si>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</si>
  <si>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</si>
  <si>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</si>
  <si>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</si>
  <si>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</si>
  <si>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</si>
  <si>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</si>
  <si>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</si>
  <si>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</si>
  <si>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</si>
  <si>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</si>
  <si>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</si>
  <si>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</si>
  <si>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</si>
  <si>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</si>
  <si>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</si>
  <si>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</si>
  <si>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</si>
  <si>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</si>
  <si>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</si>
  <si>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</si>
  <si>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</si>
  <si>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</si>
  <si>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</si>
  <si>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</si>
  <si>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</si>
  <si>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</si>
  <si>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</si>
  <si>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</si>
  <si>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</si>
  <si>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</si>
  <si>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</si>
  <si>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</si>
  <si>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</si>
  <si>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</si>
  <si>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</si>
  <si>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</si>
  <si>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</si>
  <si>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</si>
  <si>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</si>
  <si>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</si>
  <si>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</si>
  <si>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</si>
  <si>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</si>
  <si>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</si>
  <si>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</si>
  <si>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</si>
  <si>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</si>
  <si>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</si>
  <si>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</si>
  <si>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</si>
  <si>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</si>
  <si>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</si>
  <si>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</si>
  <si>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</si>
  <si>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</si>
  <si>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</si>
  <si>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</si>
  <si>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</si>
  <si>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</si>
  <si>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</si>
  <si>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</si>
  <si>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</si>
  <si>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</si>
  <si>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</si>
  <si>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</si>
  <si>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</si>
  <si>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</si>
  <si>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</si>
  <si>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</si>
  <si>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</si>
  <si>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</si>
  <si>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</si>
  <si>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</si>
  <si>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</si>
  <si>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</si>
  <si>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</si>
  <si>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</si>
  <si>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</si>
  <si>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</si>
  <si>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</si>
  <si>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</si>
  <si>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</si>
  <si>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</si>
  <si>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</si>
  <si>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</si>
  <si>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</si>
  <si>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</si>
  <si>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</si>
  <si>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</si>
  <si>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</si>
  <si>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</si>
  <si>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</si>
  <si>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</si>
  <si>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</si>
  <si>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</si>
  <si>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</si>
  <si>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</si>
  <si>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</si>
  <si>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</si>
  <si>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</si>
  <si>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</si>
  <si>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</si>
  <si>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</si>
  <si>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</si>
  <si>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</si>
  <si>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</si>
  <si>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</si>
  <si>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</si>
  <si>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</si>
  <si>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</si>
  <si>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</si>
  <si>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</si>
  <si>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</si>
  <si>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</si>
  <si>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</si>
  <si>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</si>
  <si>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</si>
  <si>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</si>
  <si>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</si>
  <si>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</si>
  <si>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</si>
  <si>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</si>
  <si>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</si>
  <si>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</si>
  <si>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</si>
  <si>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</si>
  <si>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</si>
  <si>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</si>
  <si>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</si>
  <si>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</si>
  <si>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</si>
  <si>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</si>
  <si>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</si>
  <si>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</si>
  <si>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</si>
  <si>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</si>
  <si>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</si>
  <si>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</si>
  <si>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</si>
  <si>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</si>
  <si>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</si>
  <si>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</si>
  <si>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</si>
  <si>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</si>
  <si>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</si>
  <si>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</si>
  <si>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</si>
  <si>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</si>
  <si>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</si>
  <si>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</si>
  <si>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</si>
  <si>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</si>
  <si>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</si>
  <si>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</si>
  <si>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</si>
  <si>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</si>
  <si>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</si>
  <si>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</si>
  <si>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</si>
  <si>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</si>
  <si>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</si>
  <si>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</si>
  <si>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</si>
  <si>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</si>
  <si>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</si>
  <si>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</si>
  <si>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</si>
  <si>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</si>
  <si>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</si>
  <si>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</si>
  <si>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</si>
  <si>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</si>
  <si>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</si>
  <si>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</si>
  <si>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</si>
  <si>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</si>
  <si>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</si>
  <si>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</si>
  <si>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</si>
  <si>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</si>
  <si>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</si>
  <si>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</si>
  <si>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</si>
  <si>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</si>
  <si>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</si>
  <si>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</si>
  <si>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</si>
  <si>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</si>
  <si>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</si>
  <si>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</si>
  <si>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</si>
  <si>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</si>
  <si>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</si>
  <si>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</si>
  <si>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</si>
  <si>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</si>
  <si>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</si>
  <si>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</si>
  <si>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</si>
  <si>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</si>
  <si>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</si>
  <si>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</si>
  <si>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</si>
  <si>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</si>
  <si>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</si>
  <si>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</si>
  <si>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</si>
  <si>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</si>
  <si>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</si>
  <si>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</si>
  <si>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</si>
  <si>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</si>
  <si>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</si>
  <si>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</si>
  <si>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</si>
  <si>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</si>
  <si>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</si>
  <si>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</si>
  <si>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</si>
  <si>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</si>
  <si>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</si>
  <si>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</si>
  <si>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</si>
  <si>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</si>
  <si>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</si>
  <si>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</si>
  <si>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</si>
  <si>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</si>
  <si>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</si>
  <si>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</si>
  <si>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</si>
  <si>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</si>
  <si>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</si>
  <si>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</si>
  <si>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</si>
  <si>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</si>
  <si>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</si>
  <si>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</si>
  <si>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</si>
  <si>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</si>
  <si>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</si>
  <si>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</si>
  <si>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</si>
  <si>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</si>
  <si>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</si>
  <si>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</si>
  <si>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</si>
  <si>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</si>
  <si>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</si>
  <si>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</si>
  <si>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</si>
  <si>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</si>
  <si>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</si>
  <si>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</si>
  <si>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</si>
  <si>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</si>
  <si>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</si>
  <si>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</si>
  <si>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</si>
  <si>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</si>
  <si>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</si>
  <si>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</si>
  <si>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</si>
  <si>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</si>
  <si>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</si>
  <si>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</si>
  <si>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</si>
  <si>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</si>
  <si>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</si>
  <si>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</si>
  <si>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</si>
  <si>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</si>
  <si>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</si>
  <si>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</si>
  <si>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</si>
  <si>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</si>
  <si>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</si>
  <si>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</si>
  <si>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</si>
  <si>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</si>
  <si>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</si>
  <si>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</si>
  <si>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</si>
  <si>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</si>
  <si>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</si>
  <si>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</si>
  <si>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</si>
  <si>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</si>
  <si>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</si>
  <si>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</si>
  <si>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</si>
  <si>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</si>
  <si>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</si>
  <si>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</si>
  <si>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</si>
  <si>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</si>
  <si>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</si>
  <si>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</si>
  <si>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</si>
  <si>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</si>
  <si>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</si>
  <si>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</si>
  <si>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</si>
  <si>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</si>
  <si>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</si>
  <si>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</si>
  <si>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</si>
  <si>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</si>
  <si>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</si>
  <si>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</si>
  <si>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</si>
  <si>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</si>
  <si>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</si>
  <si>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</si>
  <si>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</si>
  <si>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</si>
  <si>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</si>
  <si>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</si>
  <si>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</si>
  <si>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</si>
  <si>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</si>
  <si>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</si>
  <si>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</si>
  <si>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</si>
  <si>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</si>
  <si>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</si>
  <si>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</si>
  <si>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</si>
  <si>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</si>
  <si>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</si>
  <si>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</si>
  <si>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</si>
  <si>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</si>
  <si>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</si>
  <si>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</si>
  <si>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</si>
  <si>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</si>
  <si>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</si>
  <si>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</si>
  <si>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</si>
  <si>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</si>
  <si>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</si>
  <si>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</si>
  <si>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</si>
  <si>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</si>
  <si>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</si>
  <si>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</si>
  <si>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</si>
  <si>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</si>
  <si>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</si>
  <si>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</si>
  <si>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</si>
  <si>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</si>
  <si>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</si>
  <si>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</si>
  <si>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</si>
  <si>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</si>
  <si>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</si>
  <si>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</si>
  <si>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</si>
  <si>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</si>
  <si>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</si>
  <si>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</si>
  <si>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</si>
  <si>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</si>
  <si>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</si>
  <si>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</si>
  <si>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</si>
  <si>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</si>
  <si>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</si>
  <si>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</si>
  <si>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</si>
  <si>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</si>
  <si>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</si>
  <si>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</si>
  <si>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</si>
  <si>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</si>
  <si>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</si>
  <si>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</si>
  <si>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</si>
  <si>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</si>
  <si>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</si>
  <si>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</si>
  <si>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</si>
  <si>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</si>
  <si>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</si>
  <si>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</si>
  <si>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</si>
  <si>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</si>
  <si>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</si>
  <si>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</si>
  <si>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</si>
  <si>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</si>
  <si>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</si>
  <si>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</si>
  <si>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</si>
  <si>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</si>
  <si>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</si>
  <si>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</si>
  <si>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</si>
  <si>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</si>
  <si>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</si>
  <si>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</si>
  <si>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</si>
  <si>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</si>
  <si>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</si>
  <si>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</si>
  <si>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</si>
  <si>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</si>
  <si>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</si>
  <si>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</si>
  <si>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</si>
  <si>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</si>
  <si>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</si>
  <si>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</si>
  <si>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</si>
  <si>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</si>
  <si>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</si>
  <si>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</si>
  <si>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</si>
  <si>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</si>
  <si>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</si>
  <si>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</si>
  <si>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</si>
  <si>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</si>
  <si>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</si>
  <si>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</si>
  <si>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</si>
  <si>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</si>
  <si>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</si>
  <si>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</si>
  <si>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</si>
  <si>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</si>
  <si>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</si>
  <si>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</si>
  <si>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</si>
  <si>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</si>
  <si>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</si>
  <si>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</si>
  <si>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</si>
  <si>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</si>
  <si>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</si>
  <si>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</si>
  <si>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</si>
  <si>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</si>
  <si>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</si>
  <si>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</si>
  <si>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</si>
  <si>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</si>
  <si>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</si>
  <si>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</si>
  <si>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</si>
  <si>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</si>
  <si>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</si>
  <si>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</si>
  <si>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</si>
  <si>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</si>
  <si>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</si>
  <si>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</si>
  <si>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</si>
  <si>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</si>
  <si>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</si>
  <si>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</si>
  <si>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</si>
  <si>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</si>
  <si>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</si>
  <si>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</si>
  <si>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</si>
  <si>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</si>
  <si>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</si>
  <si>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</si>
  <si>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</si>
  <si>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</si>
  <si>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</si>
  <si>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</si>
  <si>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</si>
  <si>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</si>
  <si>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</si>
  <si>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</si>
  <si>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</si>
  <si>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</si>
  <si>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</si>
  <si>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</si>
  <si>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</si>
  <si>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</si>
  <si>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</si>
  <si>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</si>
  <si>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</si>
  <si>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</si>
  <si>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</si>
  <si>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</si>
  <si>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</si>
  <si>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</si>
  <si>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</si>
  <si>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</si>
  <si>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</si>
  <si>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</si>
  <si>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</si>
  <si>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</si>
  <si>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</si>
  <si>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</si>
  <si>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</si>
  <si>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</si>
  <si>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</si>
  <si>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</si>
  <si>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</si>
  <si>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</si>
  <si>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</si>
  <si>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</si>
  <si>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</si>
  <si>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</si>
  <si>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</si>
  <si>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</si>
  <si>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</si>
  <si>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</si>
  <si>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</si>
  <si>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</si>
  <si>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</si>
  <si>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</si>
  <si>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</si>
  <si>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</si>
  <si>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</si>
  <si>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</si>
  <si>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</si>
  <si>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</si>
  <si>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</si>
  <si>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</si>
  <si>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</si>
  <si>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</si>
  <si>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</si>
  <si>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</si>
  <si>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</si>
  <si>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</si>
  <si>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</si>
  <si>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</si>
  <si>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</si>
  <si>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</si>
  <si>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</si>
  <si>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</si>
  <si>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</si>
  <si>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</si>
  <si>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</si>
  <si>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</si>
  <si>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</si>
  <si>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</si>
  <si>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</si>
  <si>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</si>
  <si>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</si>
  <si>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</si>
  <si>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</si>
  <si>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</si>
  <si>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</si>
  <si>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</si>
  <si>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</si>
  <si>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</si>
  <si>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</si>
  <si>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</si>
  <si>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</si>
  <si>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</si>
  <si>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</si>
  <si>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</si>
  <si>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</si>
  <si>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</si>
  <si>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</si>
  <si>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</si>
  <si>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</si>
  <si>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</si>
  <si>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</si>
  <si>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</si>
  <si>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</si>
  <si>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</si>
  <si>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</si>
  <si>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</si>
  <si>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</si>
  <si>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</si>
  <si>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</si>
  <si>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</si>
  <si>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</si>
  <si>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</si>
  <si>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</si>
  <si>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</si>
  <si>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</si>
  <si>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</si>
  <si>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</si>
  <si>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</si>
  <si>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</si>
  <si>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</si>
  <si>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</si>
  <si>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</si>
  <si>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</si>
  <si>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</si>
  <si>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</si>
  <si>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</si>
  <si>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</si>
  <si>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</si>
  <si>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</si>
  <si>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</si>
  <si>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</si>
  <si>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</si>
  <si>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</si>
  <si>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</si>
  <si>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</si>
  <si>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</si>
  <si>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</si>
  <si>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</si>
  <si>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</si>
  <si>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</si>
  <si>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</si>
  <si>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</si>
  <si>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</si>
  <si>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</si>
  <si>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</si>
  <si>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</si>
  <si>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</si>
  <si>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</si>
  <si>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</si>
  <si>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</si>
  <si>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</si>
  <si>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</si>
  <si>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</si>
  <si>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</si>
  <si>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</si>
  <si>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</si>
  <si>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</si>
  <si>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</si>
  <si>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</si>
  <si>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</si>
  <si>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</si>
  <si>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</si>
  <si>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</si>
  <si>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</si>
  <si>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</si>
  <si>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</si>
  <si>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</si>
  <si>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</si>
  <si>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</si>
  <si>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</si>
  <si>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</si>
  <si>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</si>
  <si>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</si>
  <si>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</si>
  <si>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</si>
  <si>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</si>
  <si>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</si>
  <si>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</si>
  <si>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</si>
  <si>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</si>
  <si>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</si>
  <si>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</si>
  <si>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</si>
  <si>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</si>
  <si>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</si>
  <si>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</si>
  <si>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</si>
  <si>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</si>
  <si>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</si>
  <si>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</si>
  <si>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</si>
  <si>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</si>
  <si>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</si>
  <si>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</si>
  <si>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</si>
  <si>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</si>
  <si>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</si>
  <si>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</si>
  <si>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</si>
  <si>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</si>
  <si>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</si>
  <si>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</si>
  <si>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</si>
  <si>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</si>
  <si>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</si>
  <si>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</si>
  <si>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</si>
  <si>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</si>
  <si>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</si>
  <si>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</si>
  <si>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</si>
  <si>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</si>
  <si>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</si>
  <si>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</si>
  <si>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</si>
  <si>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</si>
  <si>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</si>
  <si>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</si>
  <si>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</si>
  <si>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</si>
  <si>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</si>
  <si>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</si>
  <si>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</si>
  <si>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</si>
  <si>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</si>
  <si>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</si>
  <si>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</si>
  <si>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</si>
  <si>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</si>
  <si>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</si>
  <si>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</si>
  <si>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</si>
  <si>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</si>
  <si>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</si>
  <si>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</si>
  <si>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</si>
  <si>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</si>
  <si>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</si>
  <si>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</si>
  <si>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</si>
  <si>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</si>
  <si>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</si>
  <si>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</si>
  <si>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</si>
  <si>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</si>
  <si>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</si>
  <si>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</si>
  <si>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</si>
  <si>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</si>
  <si>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</si>
  <si>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</si>
  <si>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</si>
  <si>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</si>
  <si>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</si>
  <si>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</si>
  <si>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</si>
  <si>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</si>
  <si>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</si>
  <si>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</si>
  <si>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</si>
  <si>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</si>
  <si>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</si>
  <si>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</si>
  <si>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</si>
  <si>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</si>
  <si>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</si>
  <si>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</si>
  <si>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</si>
  <si>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</si>
  <si>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</si>
  <si>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</si>
  <si>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</si>
  <si>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</si>
  <si>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</si>
  <si>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</si>
  <si>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</si>
  <si>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</si>
  <si>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</si>
  <si>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</si>
  <si>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</si>
  <si>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</si>
  <si>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</si>
  <si>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</si>
  <si>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</si>
  <si>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</si>
  <si>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</si>
  <si>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</si>
  <si>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</si>
  <si>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</si>
  <si>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</si>
  <si>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</si>
  <si>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</si>
  <si>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</si>
  <si>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</si>
  <si>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</si>
  <si>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</si>
  <si>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</si>
  <si>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</si>
  <si>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</si>
  <si>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</si>
  <si>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</si>
  <si>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</si>
  <si>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</si>
  <si>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</si>
  <si>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</si>
  <si>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</si>
  <si>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</si>
  <si>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</si>
  <si>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</si>
  <si>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</si>
  <si>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</si>
  <si>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</si>
  <si>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</si>
  <si>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</si>
  <si>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</si>
  <si>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</si>
  <si>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</si>
  <si>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</si>
  <si>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</si>
  <si>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</si>
  <si>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</si>
  <si>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</si>
  <si>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</si>
  <si>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</si>
  <si>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</si>
  <si>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</si>
  <si>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</si>
  <si>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</si>
  <si>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</si>
  <si>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</si>
  <si>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</si>
  <si>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</si>
  <si>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</si>
  <si>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</si>
  <si>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</si>
  <si>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</si>
  <si>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</si>
  <si>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</si>
  <si>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</si>
  <si>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</si>
  <si>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</si>
  <si>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</si>
  <si>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</si>
  <si>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</si>
  <si>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</si>
  <si>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</si>
  <si>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</si>
  <si>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</si>
  <si>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</si>
  <si>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</si>
  <si>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</si>
  <si>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</si>
  <si>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</si>
  <si>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</si>
  <si>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</si>
  <si>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</si>
  <si>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</si>
  <si>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</si>
  <si>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</si>
  <si>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</si>
  <si>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</si>
  <si>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</si>
  <si>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</si>
  <si>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</si>
  <si>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</si>
  <si>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</si>
  <si>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</si>
  <si>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</si>
  <si>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</si>
  <si>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</si>
  <si>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</si>
  <si>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</si>
  <si>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</si>
  <si>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</si>
  <si>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</si>
  <si>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</si>
  <si>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</si>
  <si>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</si>
  <si>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</si>
  <si>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</si>
  <si>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</si>
  <si>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</si>
  <si>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</si>
  <si>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</si>
  <si>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</si>
  <si>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</si>
  <si>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</si>
  <si>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</si>
  <si>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</si>
  <si>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</si>
  <si>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</si>
  <si>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</si>
  <si>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</si>
  <si>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</si>
  <si>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</si>
  <si>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</si>
  <si>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</si>
  <si>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</si>
  <si>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</si>
  <si>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</si>
  <si>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</si>
  <si>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</si>
  <si>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</si>
  <si>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</si>
  <si>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</si>
  <si>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</si>
  <si>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</si>
  <si>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</si>
  <si>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</si>
  <si>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</si>
  <si>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</si>
  <si>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</si>
  <si>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</si>
  <si>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</si>
  <si>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</si>
  <si>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</si>
  <si>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</si>
  <si>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</si>
  <si>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</si>
  <si>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</si>
  <si>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</si>
  <si>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</si>
  <si>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</si>
  <si>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</si>
  <si>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</si>
  <si>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</si>
  <si>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</si>
  <si>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</si>
  <si>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</si>
  <si>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</si>
  <si>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</si>
  <si>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</si>
  <si>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</si>
  <si>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</si>
  <si>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</si>
  <si>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</si>
  <si>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</si>
  <si>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</si>
  <si>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</si>
  <si>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</si>
  <si>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</si>
  <si>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</si>
  <si>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</si>
  <si>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</si>
  <si>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</si>
  <si>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</si>
  <si>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</si>
  <si>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</si>
  <si>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</si>
  <si>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</si>
  <si>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</si>
  <si>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</si>
  <si>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</si>
  <si>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</si>
  <si>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</si>
  <si>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</si>
  <si>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</si>
  <si>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</si>
  <si>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</si>
  <si>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</si>
  <si>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</si>
  <si>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</si>
  <si>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</si>
  <si>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</si>
  <si>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</si>
  <si>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</si>
  <si>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</si>
  <si>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</si>
  <si>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</si>
  <si>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</si>
  <si>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</si>
  <si>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</si>
  <si>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</si>
  <si>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</si>
  <si>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</si>
  <si>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</si>
  <si>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</si>
  <si>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</si>
  <si>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</si>
  <si>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</si>
  <si>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</si>
  <si>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</si>
  <si>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</si>
  <si>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</si>
  <si>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</si>
  <si>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</si>
  <si>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</si>
  <si>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</si>
  <si>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</si>
  <si>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</si>
  <si>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</si>
  <si>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</si>
  <si>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</si>
  <si>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</si>
  <si>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</si>
  <si>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</si>
  <si>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</si>
  <si>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</si>
  <si>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</si>
  <si>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</si>
  <si>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</si>
  <si>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</si>
  <si>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</si>
  <si>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</si>
  <si>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</si>
  <si>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</si>
  <si>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</si>
  <si>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</si>
  <si>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</si>
  <si>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</si>
  <si>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</si>
  <si>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</si>
  <si>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</si>
  <si>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</si>
  <si>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</si>
  <si>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</si>
  <si>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</si>
  <si>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</si>
  <si>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</si>
  <si>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</si>
  <si>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</si>
  <si>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</si>
  <si>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</si>
  <si>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</si>
  <si>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</si>
  <si>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</si>
  <si>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</si>
  <si>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</si>
  <si>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</si>
  <si>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</si>
  <si>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</si>
  <si>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</si>
  <si>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</si>
  <si>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</si>
  <si>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</si>
  <si>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</si>
  <si>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</si>
  <si>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</si>
  <si>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</si>
  <si>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</si>
  <si>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</si>
  <si>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</si>
  <si>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</si>
  <si>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</si>
  <si>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</si>
  <si>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</si>
  <si>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</si>
  <si>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</si>
  <si>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</si>
  <si>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</si>
  <si>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</si>
  <si>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</si>
  <si>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</si>
  <si>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</si>
  <si>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</si>
  <si>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</si>
  <si>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</si>
  <si>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</si>
  <si>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</si>
  <si>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</si>
  <si>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</si>
  <si>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</si>
  <si>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</si>
  <si>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</si>
  <si>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</si>
  <si>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</si>
  <si>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</si>
  <si>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</si>
  <si>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</si>
  <si>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</si>
  <si>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</si>
  <si>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</si>
  <si>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</si>
  <si>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</si>
  <si>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</si>
  <si>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</si>
  <si>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</si>
  <si>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</si>
  <si>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</si>
  <si>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</si>
  <si>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</si>
  <si>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</si>
  <si>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</si>
  <si>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</si>
  <si>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</si>
  <si>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</si>
  <si>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</si>
  <si>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</si>
  <si>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</si>
  <si>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</si>
  <si>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</si>
  <si>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</si>
  <si>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</si>
  <si>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</si>
  <si>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</si>
  <si>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</si>
  <si>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</si>
  <si>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</si>
  <si>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</si>
  <si>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</si>
  <si>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</si>
  <si>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</si>
  <si>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</si>
  <si>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</si>
  <si>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</si>
  <si>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</si>
  <si>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</si>
  <si>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</si>
  <si>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</si>
  <si>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</si>
  <si>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</si>
  <si>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</si>
  <si>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</si>
  <si>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</si>
  <si>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</si>
  <si>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</si>
  <si>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</si>
  <si>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</si>
  <si>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</si>
  <si>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</si>
  <si>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</si>
  <si>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</si>
  <si>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</si>
  <si>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</si>
  <si>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</si>
  <si>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</si>
  <si>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</si>
  <si>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</si>
  <si>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</si>
  <si>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</si>
  <si>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</si>
  <si>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</si>
  <si>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</si>
  <si>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</si>
  <si>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</si>
  <si>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</si>
  <si>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</si>
  <si>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</si>
  <si>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</si>
  <si>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</si>
  <si>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</si>
  <si>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</si>
  <si>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</si>
  <si>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</si>
  <si>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</si>
  <si>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</si>
  <si>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</si>
  <si>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</si>
  <si>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</si>
  <si>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</si>
  <si>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</si>
  <si>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</si>
  <si>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</si>
  <si>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</si>
  <si>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</si>
  <si>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</si>
  <si>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</si>
  <si>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</si>
  <si>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</si>
  <si>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</si>
  <si>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</si>
  <si>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</si>
  <si>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</si>
  <si>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</si>
  <si>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</si>
  <si>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</si>
  <si>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</si>
  <si>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</si>
  <si>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</si>
  <si>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</si>
  <si>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</si>
  <si>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</si>
  <si>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</si>
  <si>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</si>
  <si>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</si>
  <si>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</si>
  <si>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</si>
  <si>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</si>
  <si>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</si>
  <si>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</si>
  <si>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</si>
  <si>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</si>
  <si>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</si>
  <si>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</si>
  <si>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</si>
  <si>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</si>
  <si>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</si>
  <si>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</si>
  <si>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</si>
  <si>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</si>
  <si>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</si>
  <si>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</si>
  <si>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</si>
  <si>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</si>
  <si>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</si>
  <si>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</si>
  <si>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</si>
  <si>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</si>
  <si>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</si>
  <si>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</si>
  <si>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</si>
  <si>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</si>
  <si>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</si>
  <si>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</si>
  <si>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</si>
  <si>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</si>
  <si>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</si>
  <si>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</si>
  <si>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</si>
  <si>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</si>
  <si>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</si>
  <si>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</si>
  <si>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</si>
  <si>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</si>
  <si>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</si>
  <si>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</si>
  <si>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</si>
  <si>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</si>
  <si>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</si>
  <si>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</si>
  <si>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</si>
  <si>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</si>
  <si>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</si>
  <si>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</si>
  <si>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</si>
  <si>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</si>
  <si>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</si>
  <si>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</si>
  <si>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</si>
  <si>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</si>
  <si>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</si>
  <si>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</si>
  <si>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</si>
  <si>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</si>
  <si>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</si>
  <si>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</si>
  <si>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</si>
  <si>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</si>
  <si>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</si>
  <si>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</si>
  <si>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</si>
  <si>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</si>
  <si>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</si>
  <si>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</si>
  <si>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</si>
  <si>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</si>
  <si>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</si>
  <si>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</si>
  <si>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</si>
  <si>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</si>
  <si>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</si>
  <si>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</si>
  <si>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</si>
  <si>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</si>
  <si>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</si>
  <si>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</si>
  <si>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</si>
  <si>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</si>
  <si>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</si>
  <si>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</si>
  <si>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</si>
  <si>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</si>
  <si>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</si>
  <si>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</si>
  <si>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</si>
  <si>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</si>
  <si>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</si>
  <si>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</si>
  <si>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</si>
  <si>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</si>
  <si>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</si>
  <si>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</si>
  <si>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</si>
  <si>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</si>
  <si>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</si>
  <si>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</si>
  <si>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</si>
  <si>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</si>
  <si>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</si>
  <si>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</si>
  <si>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</si>
  <si>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</si>
  <si>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</si>
  <si>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</si>
  <si>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</si>
  <si>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</si>
  <si>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</si>
  <si>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</si>
  <si>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</si>
  <si>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</si>
  <si>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</si>
  <si>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</si>
  <si>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</si>
  <si>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</si>
  <si>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</si>
  <si>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</si>
  <si>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</si>
  <si>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</si>
  <si>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</si>
  <si>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</si>
  <si>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</si>
  <si>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</si>
  <si>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</si>
  <si>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</si>
  <si>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</si>
  <si>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</si>
  <si>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</si>
  <si>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</si>
  <si>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</si>
  <si>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</si>
  <si>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</si>
  <si>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</si>
  <si>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</si>
  <si>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</si>
  <si>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</si>
  <si>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</si>
  <si>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</si>
  <si>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</si>
  <si>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</si>
  <si>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</si>
  <si>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</si>
  <si>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</si>
  <si>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</si>
  <si>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</si>
  <si>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</si>
  <si>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</si>
  <si>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</si>
  <si>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</si>
  <si>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</si>
  <si>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</si>
  <si>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</si>
  <si>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</si>
  <si>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</si>
  <si>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</si>
  <si>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</si>
  <si>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</si>
  <si>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</si>
  <si>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</si>
  <si>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</si>
  <si>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</si>
  <si>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</si>
  <si>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</si>
  <si>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</si>
  <si>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</si>
  <si>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</si>
  <si>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</si>
  <si>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</si>
  <si>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</si>
  <si>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</si>
  <si>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</si>
  <si>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</si>
  <si>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</si>
  <si>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</si>
  <si>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</si>
  <si>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</si>
  <si>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</si>
  <si>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</si>
  <si>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</si>
  <si>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</si>
  <si>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</si>
  <si>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</si>
  <si>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</si>
  <si>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</si>
  <si>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</si>
  <si>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</si>
  <si>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</si>
  <si>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</si>
  <si>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</si>
  <si>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</si>
  <si>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</si>
  <si>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</si>
  <si>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</si>
  <si>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</si>
  <si>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</si>
  <si>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</si>
  <si>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</si>
  <si>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</si>
  <si>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</si>
  <si>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</si>
  <si>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</si>
  <si>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</si>
  <si>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</si>
  <si>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</si>
  <si>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</si>
  <si>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</si>
  <si>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</si>
  <si>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</si>
  <si>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</si>
  <si>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</si>
  <si>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</si>
  <si>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</si>
  <si>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</si>
  <si>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</si>
  <si>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</si>
  <si>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</si>
  <si>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</si>
  <si>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</si>
  <si>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</si>
  <si>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</si>
  <si>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</si>
  <si>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</si>
  <si>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</si>
  <si>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</si>
  <si>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</si>
  <si>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</si>
  <si>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</si>
  <si>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</si>
  <si>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</si>
  <si>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</si>
  <si>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</si>
  <si>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</si>
  <si>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</si>
  <si>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</si>
  <si>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</si>
  <si>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</si>
  <si>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</si>
  <si>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</si>
  <si>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</si>
  <si>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</si>
  <si>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</si>
  <si>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</si>
  <si>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</si>
  <si>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</si>
  <si>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</si>
  <si>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</si>
  <si>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</si>
  <si>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</si>
  <si>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</si>
  <si>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</si>
  <si>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</si>
  <si>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</si>
  <si>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</si>
  <si>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</si>
  <si>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</si>
  <si>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</si>
  <si>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</si>
  <si>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</si>
  <si>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</si>
  <si>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</si>
  <si>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</si>
  <si>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</si>
  <si>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</si>
  <si>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</si>
  <si>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</si>
  <si>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</si>
  <si>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</si>
  <si>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</si>
  <si>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</si>
  <si>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</si>
  <si>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</si>
  <si>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</si>
  <si>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</si>
  <si>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</si>
  <si>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</si>
  <si>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</si>
  <si>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</si>
  <si>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</si>
  <si>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</si>
  <si>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</si>
  <si>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</si>
  <si>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</si>
  <si>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</si>
  <si>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</si>
  <si>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</si>
  <si>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</si>
  <si>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</si>
  <si>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</si>
  <si>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</si>
  <si>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</si>
  <si>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</si>
  <si>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</si>
  <si>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</si>
  <si>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</si>
  <si>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</si>
  <si>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</si>
  <si>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</si>
  <si>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</si>
  <si>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</si>
  <si>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</si>
  <si>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</si>
  <si>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</si>
  <si>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</si>
  <si>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</si>
  <si>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</si>
  <si>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</si>
  <si>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</si>
  <si>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</si>
  <si>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</si>
  <si>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</si>
  <si>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</si>
  <si>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</si>
  <si>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</si>
  <si>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</si>
  <si>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</si>
  <si>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</si>
  <si>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</si>
  <si>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</si>
  <si>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</si>
  <si>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</si>
  <si>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</si>
  <si>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</si>
  <si>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</si>
  <si>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</si>
  <si>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</si>
  <si>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</si>
  <si>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</si>
  <si>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</si>
  <si>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</si>
  <si>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</si>
  <si>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</si>
  <si>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</si>
  <si>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</si>
  <si>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</si>
  <si>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</si>
  <si>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</si>
  <si>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</si>
  <si>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</si>
  <si>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</si>
  <si>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</si>
  <si>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</si>
  <si>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</si>
  <si>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</si>
  <si>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</si>
  <si>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</si>
  <si>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</si>
  <si>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</si>
  <si>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</si>
  <si>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</si>
  <si>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</si>
  <si>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</si>
  <si>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</si>
  <si>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</si>
  <si>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</si>
  <si>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</si>
  <si>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</si>
  <si>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</si>
  <si>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</si>
  <si>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</si>
  <si>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</si>
  <si>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</si>
  <si>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</si>
  <si>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</si>
  <si>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</si>
  <si>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</si>
  <si>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</si>
  <si>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</si>
  <si>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</si>
  <si>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</si>
  <si>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</si>
  <si>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</si>
  <si>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</si>
  <si>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</si>
  <si>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</si>
  <si>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</si>
  <si>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</si>
  <si>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</si>
  <si>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</si>
  <si>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</si>
  <si>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</si>
  <si>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</si>
  <si>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</si>
  <si>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</si>
  <si>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</si>
  <si>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</si>
  <si>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</si>
  <si>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</si>
  <si>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</si>
  <si>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</si>
  <si>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</si>
  <si>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</si>
  <si>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</si>
  <si>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</si>
  <si>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</si>
  <si>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</si>
  <si>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</si>
  <si>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</si>
  <si>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</si>
  <si>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</si>
  <si>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</si>
  <si>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</si>
  <si>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</si>
  <si>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</si>
  <si>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</si>
  <si>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</si>
  <si>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</si>
  <si>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</si>
  <si>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</si>
  <si>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</si>
  <si>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</si>
  <si>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</si>
  <si>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</si>
  <si>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</si>
  <si>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</si>
  <si>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</si>
  <si>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</si>
  <si>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</si>
  <si>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</si>
  <si>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</si>
  <si>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</si>
  <si>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</si>
  <si>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</si>
  <si>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</si>
  <si>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</si>
  <si>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</si>
  <si>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</si>
  <si>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</si>
  <si>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</si>
  <si>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</si>
  <si>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</si>
  <si>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</si>
  <si>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</si>
  <si>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</si>
  <si>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</si>
  <si>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</si>
  <si>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</si>
  <si>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</si>
  <si>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</si>
  <si>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</si>
  <si>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</si>
  <si>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</si>
  <si>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</si>
  <si>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</si>
  <si>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</si>
  <si>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</si>
  <si>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</si>
  <si>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</si>
  <si>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</si>
  <si>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</si>
  <si>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</si>
  <si>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</si>
  <si>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</si>
  <si>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</si>
  <si>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</si>
  <si>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</si>
  <si>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</si>
  <si>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</si>
  <si>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</si>
  <si>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</si>
  <si>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</si>
  <si>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</si>
  <si>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</si>
  <si>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</si>
  <si>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</si>
  <si>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</si>
  <si>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</si>
  <si>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</si>
  <si>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</si>
  <si>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</si>
  <si>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</si>
  <si>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</si>
  <si>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</si>
  <si>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</si>
  <si>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</si>
  <si>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</si>
  <si>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</si>
  <si>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</si>
  <si>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</si>
  <si>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</si>
  <si>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</si>
  <si>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</si>
  <si>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</si>
  <si>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</si>
  <si>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</si>
  <si>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</si>
  <si>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</si>
  <si>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</si>
  <si>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</si>
  <si>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</si>
  <si>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</si>
  <si>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</si>
  <si>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</si>
  <si>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</si>
  <si>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</si>
  <si>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</si>
  <si>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</si>
  <si>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</si>
  <si>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</si>
  <si>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</si>
  <si>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</si>
  <si>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</si>
  <si>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</si>
  <si>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</si>
  <si>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</si>
  <si>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</si>
  <si>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</si>
  <si>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</si>
  <si>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</si>
  <si>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</si>
  <si>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</si>
  <si>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</si>
  <si>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</si>
  <si>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</si>
  <si>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</si>
  <si>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</si>
  <si>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</si>
  <si>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</si>
  <si>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</si>
  <si>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</si>
  <si>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</si>
  <si>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</si>
  <si>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</si>
  <si>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</si>
  <si>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</si>
  <si>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</si>
  <si>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</si>
  <si>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</si>
  <si>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</si>
  <si>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</si>
  <si>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</si>
  <si>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</si>
  <si>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</si>
  <si>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</si>
  <si>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</si>
  <si>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</si>
  <si>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</si>
  <si>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</si>
  <si>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</si>
  <si>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</si>
  <si>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</si>
  <si>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</si>
  <si>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</si>
  <si>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</si>
  <si>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</si>
  <si>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</si>
  <si>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</si>
  <si>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</si>
  <si>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</si>
  <si>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</si>
  <si>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</si>
  <si>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</si>
  <si>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</si>
  <si>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</si>
  <si>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</si>
  <si>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</si>
  <si>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</si>
  <si>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</si>
  <si>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</si>
  <si>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</si>
  <si>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</si>
  <si>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</si>
  <si>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</si>
  <si>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</si>
  <si>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</si>
  <si>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</si>
  <si>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</si>
  <si>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</si>
  <si>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</si>
  <si>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</si>
  <si>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</si>
  <si>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</si>
  <si>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</si>
  <si>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</si>
  <si>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</si>
  <si>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</si>
  <si>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</si>
  <si>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</si>
  <si>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</si>
  <si>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</si>
  <si>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</si>
  <si>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</si>
  <si>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</si>
  <si>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</si>
  <si>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</si>
  <si>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</si>
  <si>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</si>
  <si>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</si>
  <si>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</si>
  <si>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</si>
  <si>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</si>
  <si>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</si>
  <si>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</si>
  <si>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</si>
  <si>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</si>
  <si>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</si>
  <si>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</si>
  <si>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</si>
  <si>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</si>
  <si>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</si>
  <si>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</si>
  <si>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</si>
  <si>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</si>
  <si>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</si>
  <si>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</si>
  <si>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</si>
  <si>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</si>
  <si>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</si>
  <si>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</si>
  <si>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</si>
  <si>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</si>
  <si>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</si>
  <si>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</si>
  <si>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</si>
  <si>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</si>
  <si>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</si>
  <si>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</si>
  <si>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</si>
  <si>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</si>
  <si>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</si>
  <si>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</si>
  <si>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</si>
  <si>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</si>
  <si>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</si>
  <si>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</si>
  <si>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</si>
  <si>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</si>
  <si>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</si>
  <si>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</si>
  <si>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</si>
  <si>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</si>
  <si>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</si>
  <si>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</si>
  <si>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</si>
  <si>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</si>
  <si>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</si>
  <si>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</si>
  <si>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</si>
  <si>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</si>
  <si>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</si>
  <si>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</si>
  <si>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</si>
  <si>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</si>
  <si>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</si>
  <si>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</si>
  <si>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</si>
  <si>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</si>
  <si>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</si>
  <si>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</si>
  <si>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</si>
  <si>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</si>
  <si>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</si>
  <si>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</si>
  <si>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</si>
  <si>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</si>
  <si>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</si>
  <si>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</si>
  <si>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</si>
  <si>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</si>
  <si>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</si>
  <si>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</si>
  <si>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</si>
  <si>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</si>
  <si>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</si>
  <si>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</si>
  <si>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</si>
  <si>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</si>
  <si>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</si>
  <si>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</si>
  <si>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</si>
  <si>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</si>
  <si>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</si>
  <si>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</si>
  <si>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</si>
  <si>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</si>
  <si>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</si>
  <si>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</si>
  <si>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</si>
  <si>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</si>
  <si>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</si>
  <si>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</si>
  <si>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</si>
  <si>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</si>
  <si>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</si>
  <si>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</si>
  <si>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</si>
  <si>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</si>
  <si>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</si>
  <si>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</si>
  <si>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</si>
  <si>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</si>
  <si>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</si>
  <si>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</si>
  <si>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</si>
  <si>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</si>
  <si>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</si>
  <si>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</si>
  <si>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</si>
  <si>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</si>
  <si>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</si>
  <si>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</si>
  <si>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</si>
  <si>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</si>
  <si>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</si>
  <si>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</si>
  <si>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</si>
  <si>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</si>
  <si>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</si>
  <si>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</si>
  <si>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</si>
  <si>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</si>
  <si>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</si>
  <si>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</si>
  <si>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</si>
  <si>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</si>
  <si>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</si>
  <si>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</si>
  <si>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</si>
  <si>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</si>
  <si>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</si>
  <si>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</si>
  <si>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</si>
  <si>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</si>
  <si>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</si>
  <si>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</si>
  <si>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</si>
  <si>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</si>
  <si>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</si>
  <si>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</si>
  <si>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</si>
  <si>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</si>
  <si>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</si>
  <si>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</si>
  <si>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</si>
  <si>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</si>
  <si>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</si>
  <si>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</si>
  <si>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</si>
  <si>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</si>
  <si>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</si>
  <si>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</si>
  <si>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</si>
  <si>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</si>
  <si>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</si>
  <si>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</si>
  <si>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</si>
  <si>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</si>
  <si>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</si>
  <si>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</si>
  <si>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</si>
  <si>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</si>
  <si>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</si>
  <si>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</si>
  <si>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</si>
  <si>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</si>
  <si>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</si>
  <si>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</si>
  <si>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</si>
  <si>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</si>
  <si>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</si>
  <si>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</si>
  <si>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</si>
  <si>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</si>
  <si>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</si>
  <si>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</si>
  <si>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</si>
  <si>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</si>
  <si>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</si>
  <si>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</si>
  <si>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</si>
  <si>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</si>
  <si>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</si>
  <si>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</si>
  <si>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</si>
  <si>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</si>
  <si>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</si>
  <si>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</si>
  <si>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</si>
  <si>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</si>
  <si>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</si>
  <si>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</si>
  <si>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</si>
  <si>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</si>
  <si>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</si>
  <si>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</si>
  <si>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</si>
  <si>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</si>
  <si>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</si>
  <si>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</si>
  <si>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</si>
  <si>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</si>
  <si>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</si>
  <si>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</si>
  <si>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</si>
  <si>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</si>
  <si>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</si>
  <si>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</si>
  <si>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</si>
  <si>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</si>
  <si>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</si>
  <si>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</si>
  <si>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</si>
  <si>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</si>
  <si>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</si>
  <si>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</si>
  <si>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</si>
  <si>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</si>
  <si>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</si>
  <si>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</si>
  <si>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</si>
  <si>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</si>
  <si>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</si>
  <si>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</si>
  <si>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</si>
  <si>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</si>
  <si>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</si>
  <si>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</si>
  <si>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</si>
  <si>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</si>
  <si>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</si>
  <si>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</si>
  <si>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</si>
  <si>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</si>
  <si>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</si>
  <si>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</si>
  <si>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</si>
  <si>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</si>
  <si>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</si>
  <si>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</si>
  <si>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</si>
  <si>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</si>
  <si>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</si>
  <si>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</si>
  <si>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</si>
  <si>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</si>
  <si>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</si>
  <si>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</si>
  <si>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</si>
  <si>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</si>
  <si>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</si>
  <si>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</si>
  <si>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</si>
  <si>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</si>
  <si>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</si>
  <si>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</si>
  <si>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</si>
  <si>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</si>
  <si>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</si>
  <si>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</si>
  <si>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</si>
  <si>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</si>
  <si>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</si>
  <si>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</si>
  <si>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</si>
  <si>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</si>
  <si>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</si>
  <si>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</si>
  <si>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</si>
  <si>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</si>
  <si>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</si>
  <si>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</si>
  <si>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</si>
  <si>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</si>
  <si>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</si>
  <si>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</si>
  <si>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</si>
  <si>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</si>
  <si>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</si>
  <si>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</si>
  <si>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</si>
  <si>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</si>
  <si>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</si>
  <si>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</si>
  <si>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</si>
  <si>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</si>
  <si>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</si>
  <si>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</si>
  <si>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</si>
  <si>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</si>
  <si>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</si>
  <si>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</si>
  <si>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</si>
  <si>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</si>
  <si>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</si>
  <si>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</si>
  <si>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</si>
  <si>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</si>
  <si>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</si>
  <si>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</si>
  <si>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</si>
  <si>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</si>
  <si>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</si>
  <si>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</si>
  <si>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</si>
  <si>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</si>
  <si>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</si>
  <si>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</si>
  <si>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</si>
  <si>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</si>
  <si>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</si>
  <si>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</si>
  <si>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</si>
  <si>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</si>
  <si>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</si>
  <si>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</si>
  <si>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</si>
  <si>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</si>
  <si>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</si>
  <si>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</si>
  <si>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</si>
  <si>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</si>
  <si>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</si>
  <si>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</si>
  <si>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</si>
  <si>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</si>
  <si>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</si>
  <si>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</si>
  <si>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</si>
  <si>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</si>
  <si>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</si>
  <si>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</si>
  <si>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</si>
  <si>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</si>
  <si>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</si>
  <si>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</si>
  <si>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</si>
  <si>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</si>
  <si>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</si>
  <si>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</si>
  <si>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</si>
  <si>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</si>
  <si>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</si>
  <si>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</si>
  <si>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</si>
  <si>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</si>
  <si>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</si>
  <si>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</si>
  <si>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</si>
  <si>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</si>
  <si>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</si>
  <si>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</si>
  <si>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</si>
  <si>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</si>
  <si>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</si>
  <si>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</si>
  <si>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</si>
  <si>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</si>
  <si>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</si>
  <si>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</si>
  <si>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</si>
  <si>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</si>
  <si>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</si>
  <si>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</si>
  <si>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</si>
  <si>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</si>
  <si>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</si>
  <si>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</si>
  <si>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</si>
  <si>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</si>
  <si>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</si>
  <si>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</si>
  <si>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</si>
  <si>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</si>
  <si>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</si>
  <si>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</si>
  <si>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</si>
  <si>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</si>
  <si>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</si>
  <si>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</si>
  <si>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</si>
  <si>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</si>
  <si>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</si>
  <si>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</si>
  <si>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</si>
  <si>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</si>
  <si>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</si>
  <si>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</si>
  <si>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</si>
  <si>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</si>
  <si>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</si>
  <si>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</si>
  <si>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</si>
  <si>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</si>
  <si>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</si>
  <si>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</si>
  <si>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</si>
  <si>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</si>
  <si>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</si>
  <si>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</si>
  <si>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</si>
  <si>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</si>
  <si>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</si>
  <si>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</si>
  <si>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</si>
  <si>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</si>
  <si>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</si>
  <si>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</si>
  <si>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</si>
  <si>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</si>
  <si>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</si>
  <si>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</si>
  <si>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</si>
  <si>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</si>
  <si>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</si>
  <si>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</si>
  <si>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</si>
  <si>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</si>
  <si>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</si>
  <si>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</si>
  <si>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</si>
  <si>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</si>
  <si>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</si>
  <si>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</si>
  <si>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</si>
  <si>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</si>
  <si>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</si>
  <si>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</si>
  <si>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</si>
  <si>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</si>
  <si>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</si>
  <si>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</si>
  <si>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</si>
  <si>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</si>
  <si>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</si>
  <si>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</si>
  <si>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</si>
  <si>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</si>
  <si>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</si>
  <si>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</si>
  <si>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</si>
  <si>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</si>
  <si>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</si>
  <si>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</si>
  <si>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</si>
  <si>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</si>
  <si>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</si>
  <si>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</si>
  <si>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</si>
  <si>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</si>
  <si>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</si>
  <si>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</si>
  <si>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</si>
  <si>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</si>
  <si>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</si>
  <si>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</si>
  <si>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</si>
  <si>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</si>
  <si>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</si>
  <si>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</si>
  <si>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</si>
  <si>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</si>
  <si>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</si>
  <si>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</si>
  <si>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</si>
  <si>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</si>
  <si>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</si>
  <si>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</si>
  <si>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</si>
  <si>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</si>
  <si>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</si>
  <si>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</si>
  <si>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</si>
  <si>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</si>
  <si>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</si>
  <si>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</si>
  <si>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</si>
  <si>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</si>
  <si>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</si>
  <si>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</si>
  <si>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</si>
  <si>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</si>
  <si>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</si>
  <si>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</si>
  <si>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</si>
  <si>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</si>
  <si>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</si>
  <si>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</si>
  <si>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</si>
  <si>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</si>
  <si>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</si>
  <si>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</si>
  <si>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</si>
  <si>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</si>
  <si>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</si>
  <si>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</si>
  <si>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</si>
  <si>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</si>
  <si>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</si>
  <si>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</si>
  <si>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</si>
  <si>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</si>
  <si>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</si>
  <si>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</si>
  <si>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</si>
  <si>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</si>
  <si>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</si>
  <si>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</si>
  <si>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</si>
  <si>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</si>
  <si>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</si>
  <si>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</si>
  <si>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</si>
  <si>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</si>
  <si>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</si>
  <si>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</si>
  <si>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</si>
  <si>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</si>
  <si>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</si>
  <si>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</si>
  <si>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</si>
  <si>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</si>
  <si>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</si>
  <si>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</si>
  <si>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</si>
  <si>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</si>
  <si>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</si>
  <si>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</si>
  <si>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</si>
  <si>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</si>
  <si>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</si>
  <si>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</si>
  <si>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</si>
  <si>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</si>
  <si>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</si>
  <si>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</si>
  <si>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</si>
  <si>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</si>
  <si>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</si>
  <si>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</si>
  <si>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</si>
  <si>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</si>
  <si>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</si>
  <si>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</si>
  <si>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</si>
  <si>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</si>
  <si>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</si>
  <si>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</si>
  <si>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</si>
  <si>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</si>
  <si>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</si>
  <si>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</si>
  <si>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</si>
  <si>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</si>
  <si>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</si>
  <si>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</si>
  <si>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</si>
  <si>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</si>
  <si>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</si>
  <si>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</si>
  <si>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</si>
  <si>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</si>
  <si>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</si>
  <si>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</si>
  <si>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</si>
  <si>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</si>
  <si>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</si>
  <si>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</si>
  <si>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</si>
  <si>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</si>
  <si>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</si>
  <si>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</si>
  <si>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</si>
  <si>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</si>
  <si>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</si>
  <si>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</si>
  <si>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</si>
  <si>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</si>
  <si>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</si>
  <si>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</si>
  <si>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</si>
  <si>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</si>
  <si>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</si>
  <si>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</si>
  <si>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</si>
  <si>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</si>
  <si>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</si>
  <si>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</si>
  <si>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</si>
  <si>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</si>
  <si>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</si>
  <si>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</si>
  <si>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</si>
  <si>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</si>
  <si>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</si>
  <si>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</si>
  <si>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</si>
  <si>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</si>
  <si>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</si>
  <si>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</si>
  <si>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</si>
  <si>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</si>
  <si>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</si>
  <si>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</si>
  <si>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</si>
  <si>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</si>
  <si>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</si>
  <si>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</si>
  <si>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</si>
  <si>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</si>
  <si>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</si>
  <si>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</si>
  <si>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</si>
  <si>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</si>
  <si>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</si>
  <si>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</si>
  <si>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</si>
  <si>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</si>
  <si>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</si>
  <si>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</si>
  <si>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</si>
  <si>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</si>
  <si>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</si>
  <si>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</si>
  <si>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</si>
  <si>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</si>
  <si>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</si>
  <si>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</si>
  <si>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</si>
  <si>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</si>
  <si>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</si>
  <si>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</si>
  <si>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</si>
  <si>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</si>
  <si>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</si>
  <si>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</si>
  <si>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</si>
  <si>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</si>
  <si>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</si>
  <si>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</si>
  <si>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</si>
  <si>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</si>
  <si>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</si>
  <si>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</si>
  <si>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</si>
  <si>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</si>
  <si>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</si>
  <si>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</si>
  <si>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</si>
  <si>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</si>
  <si>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</si>
  <si>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</si>
  <si>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</si>
  <si>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</si>
  <si>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</si>
  <si>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</si>
  <si>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</si>
  <si>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</si>
  <si>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</si>
  <si>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</si>
  <si>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</si>
  <si>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</si>
  <si>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</si>
  <si>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</si>
  <si>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</si>
  <si>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</si>
  <si>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</si>
  <si>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</si>
  <si>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</si>
  <si>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</si>
  <si>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</si>
  <si>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</si>
  <si>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</si>
  <si>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</si>
  <si>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</si>
  <si>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</si>
  <si>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</si>
  <si>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</si>
  <si>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</si>
  <si>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</si>
  <si>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</si>
  <si>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</si>
  <si>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</si>
  <si>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</si>
  <si>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</si>
  <si>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</si>
  <si>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</si>
  <si>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</si>
  <si>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</si>
  <si>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</si>
  <si>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</si>
  <si>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</si>
  <si>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</si>
  <si>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</si>
  <si>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</si>
  <si>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</si>
  <si>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</si>
  <si>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</si>
  <si>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</si>
  <si>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</si>
  <si>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</si>
  <si>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</si>
  <si>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</si>
  <si>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</si>
  <si>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</si>
  <si>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</si>
  <si>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</si>
  <si>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</si>
  <si>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</si>
  <si>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</si>
  <si>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</si>
  <si>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</si>
  <si>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</si>
  <si>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</si>
  <si>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</si>
  <si>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</si>
  <si>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</si>
  <si>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</si>
  <si>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</si>
  <si>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</si>
  <si>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</si>
  <si>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</si>
  <si>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</si>
  <si>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</si>
  <si>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</si>
  <si>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</si>
  <si>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</si>
  <si>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</si>
  <si>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</si>
  <si>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</si>
  <si>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</si>
  <si>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</si>
  <si>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</si>
  <si>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</si>
  <si>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</si>
  <si>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</si>
  <si>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</si>
  <si>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</si>
  <si>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</si>
  <si>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</si>
  <si>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</si>
  <si>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</si>
  <si>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</si>
  <si>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</si>
  <si>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</si>
  <si>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</si>
  <si>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</si>
  <si>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</si>
  <si>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</si>
  <si>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</si>
  <si>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</si>
  <si>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</si>
  <si>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</si>
  <si>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</si>
  <si>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</si>
  <si>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</si>
  <si>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</si>
  <si>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</si>
  <si>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</si>
  <si>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</si>
  <si>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</si>
  <si>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</si>
  <si>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</si>
  <si>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</si>
  <si>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</si>
  <si>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</si>
  <si>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</si>
  <si>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</si>
  <si>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</si>
  <si>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</si>
  <si>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</si>
  <si>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</si>
  <si>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</si>
  <si>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</si>
  <si>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</si>
  <si>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</si>
  <si>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</si>
  <si>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</si>
  <si>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</si>
  <si>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</si>
  <si>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</si>
  <si>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</si>
  <si>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</si>
  <si>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</si>
  <si>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</si>
  <si>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</si>
  <si>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</si>
  <si>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</si>
  <si>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</si>
  <si>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</si>
  <si>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</si>
  <si>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</si>
  <si>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</si>
  <si>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</si>
  <si>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</si>
  <si>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</si>
  <si>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</si>
  <si>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</si>
  <si>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</si>
  <si>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</si>
  <si>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</si>
  <si>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</si>
  <si>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</si>
  <si>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</si>
  <si>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</si>
  <si>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</si>
  <si>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</si>
  <si>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</si>
  <si>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</si>
  <si>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</si>
  <si>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</si>
  <si>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</si>
  <si>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</si>
  <si>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</si>
  <si>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</si>
  <si>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</si>
  <si>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</si>
  <si>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</si>
  <si>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</si>
  <si>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</si>
  <si>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</si>
  <si>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</si>
  <si>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</si>
  <si>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</si>
  <si>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</si>
  <si>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</si>
  <si>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</si>
  <si>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</si>
  <si>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</si>
  <si>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</si>
  <si>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</si>
  <si>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</si>
  <si>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</si>
  <si>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</si>
  <si>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</si>
  <si>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</si>
  <si>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</si>
  <si>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</si>
  <si>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</si>
  <si>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</si>
  <si>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</si>
  <si>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</si>
  <si>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</si>
  <si>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</si>
  <si>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</si>
  <si>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</si>
  <si>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</si>
  <si>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</si>
  <si>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</si>
  <si>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</si>
  <si>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</si>
  <si>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</si>
  <si>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</si>
  <si>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</si>
  <si>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</si>
  <si>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</si>
  <si>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</si>
  <si>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</si>
  <si>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</si>
  <si>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</si>
  <si>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</si>
  <si>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</si>
  <si>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</si>
  <si>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</si>
  <si>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</si>
  <si>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</si>
  <si>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</si>
  <si>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</si>
  <si>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</si>
  <si>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</si>
  <si>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</si>
  <si>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</si>
  <si>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</si>
  <si>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</si>
  <si>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</si>
  <si>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</si>
  <si>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</si>
  <si>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</si>
  <si>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</si>
  <si>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</si>
  <si>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</si>
  <si>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</si>
  <si>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</si>
  <si>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</si>
  <si>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</si>
  <si>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</si>
  <si>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</si>
  <si>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</si>
  <si>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</si>
  <si>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</si>
  <si>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</si>
  <si>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</si>
  <si>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</si>
  <si>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</si>
  <si>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</si>
  <si>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</si>
  <si>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</si>
  <si>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</si>
  <si>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</si>
  <si>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</si>
  <si>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</si>
  <si>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</si>
  <si>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</si>
  <si>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</si>
  <si>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</si>
  <si>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</si>
  <si>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</si>
  <si>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</si>
  <si>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</si>
  <si>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</si>
  <si>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</si>
  <si>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</si>
  <si>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</si>
  <si>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</si>
  <si>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</si>
  <si>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</si>
  <si>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</si>
  <si>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</si>
  <si>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</si>
  <si>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</si>
  <si>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</si>
  <si>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</si>
  <si>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</si>
  <si>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</si>
  <si>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</si>
  <si>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</si>
  <si>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</si>
  <si>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</si>
  <si>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</si>
  <si>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</si>
  <si>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</si>
  <si>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</si>
  <si>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</si>
  <si>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</si>
  <si>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</si>
  <si>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</si>
  <si>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</si>
  <si>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</si>
  <si>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</si>
  <si>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</si>
  <si>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</si>
  <si>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</si>
  <si>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</si>
  <si>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</si>
  <si>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</si>
  <si>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</si>
  <si>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</si>
  <si>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</si>
  <si>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</si>
  <si>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</si>
  <si>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</si>
  <si>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</si>
  <si>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</si>
  <si>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</si>
  <si>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</si>
  <si>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</si>
  <si>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</si>
  <si>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</si>
  <si>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</si>
  <si>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</si>
  <si>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</si>
  <si>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</si>
  <si>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</si>
  <si>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</si>
  <si>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</si>
  <si>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</si>
  <si>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</si>
  <si>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</si>
  <si>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</si>
  <si>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</si>
  <si>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</si>
  <si>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</si>
  <si>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</si>
  <si>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</si>
  <si>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</si>
  <si>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</si>
  <si>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</si>
  <si>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</si>
  <si>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</si>
  <si>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</si>
  <si>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</si>
  <si>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</si>
  <si>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</si>
  <si>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</si>
  <si>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</si>
  <si>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</si>
  <si>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</si>
  <si>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</si>
  <si>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</si>
  <si>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</si>
  <si>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</si>
  <si>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</si>
  <si>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</si>
  <si>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</si>
  <si>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</si>
  <si>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</si>
  <si>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</si>
  <si>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</si>
  <si>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</si>
  <si>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</si>
  <si>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</si>
  <si>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</si>
  <si>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</si>
  <si>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</si>
  <si>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</si>
  <si>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</si>
  <si>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</si>
  <si>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</si>
  <si>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</si>
  <si>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</si>
  <si>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</si>
  <si>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</si>
  <si>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</si>
  <si>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</si>
  <si>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</si>
  <si>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</si>
  <si>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</si>
  <si>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</si>
  <si>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</si>
  <si>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</si>
  <si>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</si>
  <si>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</si>
  <si>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</si>
  <si>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</si>
  <si>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</si>
  <si>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</si>
  <si>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</si>
  <si>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</si>
  <si>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</si>
  <si>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</si>
  <si>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</si>
  <si>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</si>
  <si>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</si>
  <si>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</si>
  <si>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</si>
  <si>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</si>
  <si>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</si>
  <si>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</si>
  <si>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</si>
  <si>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</si>
  <si>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</si>
  <si>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</si>
  <si>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</si>
  <si>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</si>
  <si>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</si>
  <si>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</si>
  <si>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</si>
  <si>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</si>
  <si>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</si>
  <si>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</si>
  <si>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</si>
  <si>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</si>
  <si>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</si>
  <si>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</si>
  <si>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</si>
  <si>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</si>
  <si>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</si>
  <si>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</si>
  <si>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</si>
  <si>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</si>
  <si>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</si>
  <si>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</si>
  <si>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</si>
  <si>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</si>
  <si>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</si>
  <si>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</si>
  <si>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</si>
  <si>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</si>
  <si>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</si>
  <si>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</si>
  <si>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</si>
  <si>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</si>
  <si>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</si>
  <si>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</si>
  <si>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</si>
  <si>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</si>
  <si>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</si>
  <si>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</si>
  <si>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</si>
  <si>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</si>
  <si>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</si>
  <si>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</si>
  <si>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</si>
  <si>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</si>
  <si>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</si>
  <si>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</si>
  <si>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</si>
  <si>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</si>
  <si>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</si>
  <si>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</si>
  <si>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</si>
  <si>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</si>
  <si>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</si>
  <si>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</si>
  <si>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</si>
  <si>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</si>
  <si>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</si>
  <si>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</si>
  <si>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</si>
  <si>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</si>
  <si>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</si>
  <si>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</si>
  <si>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</si>
  <si>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</si>
  <si>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</si>
  <si>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</si>
  <si>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</si>
  <si>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</si>
  <si>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</si>
  <si>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</si>
  <si>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</si>
  <si>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</si>
  <si>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</si>
  <si>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</si>
  <si>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</si>
  <si>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</si>
  <si>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</si>
  <si>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</si>
  <si>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</si>
  <si>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</si>
  <si>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</si>
  <si>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</si>
  <si>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</si>
  <si>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</si>
  <si>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</si>
  <si>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</si>
  <si>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</si>
  <si>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</si>
  <si>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</si>
  <si>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</si>
  <si>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</si>
  <si>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</si>
  <si>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</si>
  <si>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</si>
  <si>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</si>
  <si>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</si>
  <si>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</si>
  <si>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</si>
  <si>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</si>
  <si>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</si>
  <si>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</si>
  <si>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</si>
  <si>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</si>
  <si>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</si>
  <si>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</si>
  <si>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</si>
  <si>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</si>
  <si>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</si>
  <si>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</si>
  <si>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</si>
  <si>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</si>
  <si>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</si>
  <si>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</si>
  <si>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</si>
  <si>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</si>
  <si>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</si>
  <si>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</si>
  <si>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</si>
  <si>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</si>
  <si>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</si>
  <si>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</si>
  <si>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</si>
  <si>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</si>
  <si>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</si>
  <si>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</si>
  <si>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</si>
  <si>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</si>
  <si>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</si>
  <si>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</si>
  <si>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</si>
  <si>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</si>
  <si>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</si>
  <si>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</si>
  <si>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</si>
  <si>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</si>
  <si>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</si>
  <si>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</si>
  <si>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</si>
  <si>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</si>
  <si>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</si>
  <si>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</si>
  <si>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</si>
  <si>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</si>
  <si>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</si>
  <si>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</si>
  <si>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</si>
  <si>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</si>
  <si>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</si>
  <si>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</si>
  <si>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</si>
  <si>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</si>
  <si>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</si>
  <si>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</si>
  <si>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</si>
  <si>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</si>
  <si>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</si>
  <si>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</si>
  <si>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</si>
  <si>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</si>
  <si>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</si>
  <si>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</si>
  <si>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</si>
  <si>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</si>
  <si>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</si>
  <si>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</si>
  <si>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</si>
  <si>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</si>
  <si>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</si>
  <si>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</si>
  <si>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</si>
  <si>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</si>
  <si>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</si>
  <si>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</si>
  <si>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</si>
  <si>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</si>
  <si>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</si>
  <si>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</si>
  <si>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</si>
  <si>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</si>
  <si>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</si>
  <si>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</si>
  <si>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</si>
  <si>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</si>
  <si>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</si>
  <si>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</si>
  <si>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</si>
  <si>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</si>
  <si>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</si>
  <si>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</si>
  <si>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</si>
  <si>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</si>
  <si>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</si>
  <si>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</si>
  <si>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</si>
  <si>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</si>
  <si>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</si>
  <si>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</si>
  <si>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</si>
  <si>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</si>
  <si>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</si>
  <si>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</si>
  <si>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</si>
  <si>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</si>
  <si>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</si>
  <si>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</si>
  <si>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</si>
  <si>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</si>
  <si>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</si>
  <si>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</si>
  <si>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</si>
  <si>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</si>
  <si>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</si>
  <si>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</si>
  <si>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</si>
  <si>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</si>
  <si>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</si>
  <si>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</si>
  <si>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</si>
  <si>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</si>
  <si>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</si>
  <si>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</si>
  <si>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</si>
  <si>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</si>
  <si>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</si>
  <si>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</si>
  <si>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</si>
  <si>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</si>
  <si>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</si>
  <si>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</si>
  <si>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</si>
  <si>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</si>
  <si>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</si>
  <si>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</si>
  <si>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</si>
  <si>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</si>
  <si>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</si>
  <si>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</si>
  <si>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</si>
  <si>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</si>
  <si>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</si>
  <si>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</si>
  <si>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</si>
  <si>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</si>
  <si>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</si>
  <si>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</si>
  <si>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</si>
  <si>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</si>
  <si>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</si>
  <si>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</si>
  <si>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</si>
  <si>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</si>
  <si>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</si>
  <si>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</si>
  <si>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</si>
  <si>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</si>
  <si>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</si>
  <si>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</si>
  <si>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</si>
  <si>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</si>
  <si>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</si>
  <si>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</si>
  <si>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</si>
  <si>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</si>
  <si>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</si>
  <si>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</si>
  <si>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</si>
  <si>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</si>
  <si>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</si>
  <si>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</si>
  <si>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</si>
  <si>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</si>
  <si>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</si>
  <si>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</si>
  <si>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</si>
  <si>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</si>
  <si>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</si>
  <si>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</si>
  <si>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</si>
  <si>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</si>
  <si>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</si>
  <si>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</si>
  <si>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</si>
  <si>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</si>
  <si>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</si>
  <si>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</si>
  <si>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</si>
  <si>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</si>
  <si>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</si>
  <si>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</si>
  <si>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</si>
  <si>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</si>
  <si>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</si>
  <si>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</si>
  <si>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</si>
  <si>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</si>
  <si>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</si>
  <si>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</si>
  <si>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</si>
  <si>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</si>
  <si>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</si>
  <si>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</si>
  <si>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</si>
  <si>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</si>
  <si>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</si>
  <si>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</si>
  <si>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</si>
  <si>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</si>
  <si>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</si>
  <si>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</si>
  <si>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</si>
  <si>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</si>
  <si>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</si>
  <si>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</si>
  <si>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</si>
  <si>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</si>
  <si>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</si>
  <si>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</si>
  <si>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</si>
  <si>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</si>
  <si>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</si>
  <si>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</si>
  <si>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</si>
  <si>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</si>
  <si>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</si>
  <si>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</si>
  <si>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</si>
  <si>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</si>
  <si>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</si>
  <si>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</si>
  <si>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</si>
  <si>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</si>
  <si>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</si>
  <si>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</si>
  <si>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</si>
  <si>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</si>
  <si>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</si>
  <si>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</si>
  <si>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</si>
  <si>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</si>
  <si>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</si>
  <si>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</si>
  <si>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</si>
  <si>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</si>
  <si>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</si>
  <si>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</si>
  <si>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</si>
  <si>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</si>
  <si>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</si>
  <si>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</si>
  <si>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</si>
  <si>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</si>
  <si>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</si>
  <si>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</si>
  <si>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</si>
  <si>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</si>
  <si>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</si>
  <si>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</si>
  <si>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</si>
  <si>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</si>
  <si>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</si>
  <si>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</si>
  <si>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</si>
  <si>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</si>
  <si>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</si>
  <si>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</si>
  <si>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</si>
  <si>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</si>
  <si>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</si>
  <si>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</si>
  <si>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</si>
  <si>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</si>
  <si>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</si>
  <si>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</si>
  <si>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</si>
  <si>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</si>
  <si>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</si>
  <si>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</si>
  <si>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</si>
  <si>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</si>
  <si>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</si>
  <si>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</si>
  <si>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</si>
  <si>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</si>
  <si>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</si>
  <si>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</si>
  <si>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</si>
  <si>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</si>
  <si>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</si>
  <si>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</si>
  <si>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</si>
  <si>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</si>
  <si>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</si>
  <si>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</si>
  <si>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</si>
  <si>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</si>
  <si>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</si>
  <si>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</si>
  <si>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</si>
  <si>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</si>
  <si>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</si>
  <si>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</si>
  <si>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</si>
  <si>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</si>
  <si>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</si>
  <si>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</si>
  <si>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</si>
  <si>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</si>
  <si>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</si>
  <si>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</si>
  <si>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</si>
  <si>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</si>
  <si>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</si>
  <si>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</si>
  <si>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</si>
  <si>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</si>
  <si>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</si>
  <si>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</si>
  <si>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</si>
  <si>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</si>
  <si>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</si>
  <si>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</si>
  <si>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</si>
  <si>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</si>
  <si>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</si>
  <si>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</si>
  <si>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</si>
  <si>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</si>
  <si>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</si>
  <si>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</si>
  <si>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</si>
  <si>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</si>
  <si>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</si>
  <si>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</si>
  <si>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</si>
  <si>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</si>
  <si>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</si>
  <si>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</si>
  <si>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</si>
  <si>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</si>
  <si>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</si>
  <si>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</si>
  <si>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</si>
  <si>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</si>
  <si>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</si>
  <si>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</si>
  <si>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</si>
  <si>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</si>
  <si>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</si>
  <si>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</si>
  <si>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</si>
  <si>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</si>
  <si>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</si>
  <si>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</si>
  <si>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</si>
  <si>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</si>
  <si>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</si>
  <si>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</si>
  <si>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</si>
  <si>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</si>
  <si>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</si>
  <si>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</si>
  <si>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</si>
  <si>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</si>
  <si>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</si>
  <si>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</si>
  <si>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</si>
  <si>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</si>
  <si>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</si>
  <si>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</si>
  <si>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</si>
  <si>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</si>
  <si>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</si>
  <si>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</si>
  <si>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</si>
  <si>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</si>
  <si>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</si>
  <si>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</si>
  <si>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</si>
  <si>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</si>
  <si>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</si>
  <si>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</si>
  <si>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</si>
  <si>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</si>
  <si>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</si>
  <si>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</si>
  <si>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</si>
  <si>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</si>
  <si>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</si>
  <si>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</si>
  <si>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</si>
  <si>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</si>
  <si>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</si>
  <si>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</si>
  <si>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</si>
  <si>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</si>
  <si>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</si>
  <si>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</si>
  <si>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</si>
  <si>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</si>
  <si>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</si>
  <si>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</si>
  <si>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</si>
  <si>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</si>
  <si>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</si>
  <si>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</si>
  <si>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</si>
  <si>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</si>
  <si>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</si>
  <si>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</si>
  <si>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</si>
  <si>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</si>
  <si>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</si>
  <si>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</si>
  <si>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</si>
  <si>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</si>
  <si>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</si>
  <si>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</si>
  <si>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</si>
  <si>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</si>
  <si>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</si>
  <si>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</si>
  <si>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</si>
  <si>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</si>
  <si>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</si>
  <si>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</si>
  <si>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</si>
  <si>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</si>
  <si>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</si>
  <si>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</si>
  <si>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</si>
  <si>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</si>
  <si>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</si>
  <si>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</si>
  <si>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</si>
  <si>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</si>
  <si>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</si>
  <si>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</si>
  <si>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</si>
  <si>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</si>
  <si>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</si>
  <si>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</si>
  <si>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</si>
  <si>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</si>
  <si>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</si>
  <si>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</si>
  <si>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</si>
  <si>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</si>
  <si>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</si>
  <si>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</si>
  <si>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</si>
  <si>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</si>
  <si>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</si>
  <si>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</si>
  <si>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</si>
  <si>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</si>
  <si>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</si>
  <si>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</si>
  <si>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</si>
  <si>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</si>
  <si>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</si>
  <si>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</si>
  <si>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</si>
  <si>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</si>
  <si>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</si>
  <si>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</si>
  <si>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</si>
  <si>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</si>
  <si>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</si>
  <si>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</si>
  <si>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</si>
  <si>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</si>
  <si>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</si>
  <si>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</si>
  <si>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</si>
  <si>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</si>
  <si>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</si>
  <si>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</si>
  <si>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</si>
  <si>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</si>
  <si>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</si>
  <si>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</si>
  <si>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</si>
  <si>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</si>
  <si>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</si>
  <si>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</si>
  <si>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</si>
  <si>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</si>
  <si>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</si>
  <si>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</si>
  <si>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</si>
  <si>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</si>
  <si>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</si>
  <si>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</si>
  <si>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</si>
  <si>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</si>
  <si>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</si>
  <si>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</si>
  <si>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</si>
  <si>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</si>
  <si>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</si>
  <si>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</si>
  <si>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</si>
  <si>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</si>
  <si>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</si>
  <si>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</si>
  <si>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</si>
  <si>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</si>
  <si>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</si>
  <si>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</si>
  <si>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</si>
  <si>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</si>
  <si>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</si>
  <si>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</si>
  <si>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</si>
  <si>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</si>
  <si>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</si>
  <si>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</si>
  <si>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</si>
  <si>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</si>
  <si>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</si>
  <si>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</si>
  <si>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</si>
  <si>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</si>
  <si>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</si>
  <si>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</si>
  <si>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</si>
  <si>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</si>
  <si>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</si>
  <si>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</si>
  <si>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</si>
  <si>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</si>
  <si>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</si>
  <si>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</si>
  <si>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</si>
  <si>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</si>
  <si>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</si>
  <si>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</si>
  <si>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</si>
  <si>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</si>
  <si>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</si>
  <si>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</si>
  <si>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</si>
  <si>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</si>
  <si>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</si>
  <si>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</si>
  <si>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</si>
  <si>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</si>
  <si>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</si>
  <si>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</si>
  <si>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</si>
  <si>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</si>
  <si>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</si>
  <si>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</si>
  <si>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</si>
  <si>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</si>
  <si>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</si>
  <si>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</si>
  <si>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</si>
  <si>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</si>
  <si>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</si>
  <si>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</si>
  <si>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</si>
  <si>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</si>
  <si>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</si>
  <si>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</si>
  <si>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</si>
  <si>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</si>
  <si>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</si>
  <si>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</si>
  <si>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</si>
  <si>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</si>
  <si>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</si>
  <si>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</si>
  <si>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</si>
  <si>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</si>
  <si>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</si>
  <si>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</si>
  <si>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</si>
  <si>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</si>
  <si>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</si>
  <si>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</si>
  <si>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</si>
  <si>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</si>
  <si>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</si>
  <si>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</si>
  <si>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</si>
  <si>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</si>
  <si>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</si>
  <si>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</si>
  <si>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</si>
  <si>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</si>
  <si>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</si>
  <si>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</si>
  <si>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</si>
  <si>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</si>
  <si>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</si>
  <si>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</si>
  <si>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</si>
  <si>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</si>
  <si>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</si>
  <si>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</si>
  <si>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</si>
  <si>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</si>
  <si>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</si>
  <si>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</si>
  <si>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</si>
  <si>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</si>
  <si>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</si>
  <si>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</si>
  <si>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</si>
  <si>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</si>
  <si>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</si>
  <si>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</si>
  <si>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</si>
  <si>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</si>
  <si>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</si>
  <si>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</si>
  <si>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</si>
  <si>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</si>
  <si>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</si>
  <si>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</si>
  <si>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</si>
  <si>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</si>
  <si>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</si>
  <si>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</si>
  <si>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</si>
  <si>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</si>
  <si>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</si>
  <si>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</si>
  <si>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</si>
  <si>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</si>
  <si>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</si>
  <si>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</si>
  <si>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</si>
  <si>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</si>
  <si>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</si>
  <si>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</si>
  <si>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</si>
  <si>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</si>
  <si>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</si>
  <si>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</si>
  <si>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</si>
  <si>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</si>
  <si>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</si>
  <si>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</si>
  <si>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</si>
  <si>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</si>
  <si>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</si>
  <si>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</si>
  <si>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</si>
  <si>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</si>
  <si>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</si>
  <si>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</si>
  <si>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</si>
  <si>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</si>
  <si>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</si>
  <si>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</si>
  <si>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</si>
  <si>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</si>
  <si>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</si>
  <si>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</si>
  <si>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</si>
  <si>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</si>
  <si>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</si>
  <si>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</si>
  <si>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</si>
  <si>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</si>
  <si>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</si>
  <si>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</si>
  <si>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</si>
  <si>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</si>
  <si>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</si>
  <si>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</si>
  <si>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</si>
  <si>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</si>
  <si>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</si>
  <si>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</si>
  <si>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</si>
  <si>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</si>
  <si>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</si>
  <si>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</si>
  <si>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</si>
  <si>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</si>
  <si>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</si>
  <si>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</si>
  <si>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</si>
  <si>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</si>
  <si>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</si>
  <si>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</si>
  <si>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</si>
  <si>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</si>
  <si>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</si>
  <si>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</si>
  <si>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</si>
  <si>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</si>
  <si>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</si>
  <si>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</si>
  <si>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</si>
  <si>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</si>
  <si>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</si>
  <si>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</si>
  <si>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</si>
  <si>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</si>
  <si>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</si>
  <si>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</si>
  <si>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</si>
  <si>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</si>
  <si>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</si>
  <si>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</si>
  <si>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</si>
  <si>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</si>
  <si>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</si>
  <si>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</si>
  <si>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</si>
  <si>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</si>
  <si>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</si>
  <si>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</si>
  <si>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</si>
  <si>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</si>
  <si>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</si>
  <si>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</si>
  <si>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</si>
  <si>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</si>
  <si>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</si>
  <si>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</si>
  <si>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</si>
  <si>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</si>
  <si>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</si>
  <si>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</si>
  <si>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</si>
  <si>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</si>
  <si>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</si>
  <si>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</si>
  <si>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</si>
  <si>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</si>
  <si>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</si>
  <si>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</si>
  <si>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</si>
  <si>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</si>
  <si>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</si>
  <si>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</si>
  <si>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</si>
  <si>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</si>
  <si>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</si>
  <si>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</si>
  <si>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</si>
  <si>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</si>
  <si>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</si>
  <si>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</si>
  <si>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</si>
  <si>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</si>
  <si>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</si>
  <si>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</si>
  <si>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</si>
  <si>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</si>
  <si>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</si>
  <si>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</si>
  <si>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</si>
  <si>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</si>
  <si>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</si>
  <si>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</si>
  <si>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</si>
  <si>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</si>
  <si>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</si>
  <si>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</si>
  <si>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</si>
  <si>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</si>
  <si>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</si>
  <si>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</si>
  <si>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</si>
  <si>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</si>
  <si>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</si>
  <si>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</si>
  <si>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</si>
  <si>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</si>
  <si>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</si>
  <si>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</si>
  <si>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</si>
  <si>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</si>
  <si>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</si>
  <si>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</si>
  <si>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</si>
  <si>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</si>
  <si>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</si>
  <si>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</si>
  <si>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</si>
  <si>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</si>
  <si>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</si>
  <si>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</si>
  <si>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</si>
  <si>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</si>
  <si>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</si>
  <si>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</si>
  <si>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</si>
  <si>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</si>
  <si>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</si>
  <si>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</si>
  <si>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</si>
  <si>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</si>
  <si>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</si>
  <si>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</si>
  <si>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</si>
  <si>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</si>
  <si>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</si>
  <si>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</si>
  <si>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</si>
  <si>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</si>
  <si>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</si>
  <si>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</si>
  <si>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</si>
  <si>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</si>
  <si>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</si>
  <si>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</si>
  <si>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</si>
  <si>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</si>
  <si>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</si>
  <si>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</si>
  <si>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</si>
  <si>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</si>
  <si>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</si>
  <si>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</si>
  <si>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</si>
  <si>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D3r, D1-2b, C1-3b</t>
  </si>
  <si>
    <t>Cf. Rosa blanda</t>
  </si>
  <si>
    <t>H1-3p</t>
  </si>
  <si>
    <t>Antennaria sp.</t>
  </si>
  <si>
    <t>G1-3p</t>
  </si>
  <si>
    <t>Dicanthelium sp.</t>
  </si>
  <si>
    <t>LHPP12022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</si>
</sst>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14" fillId="0" borderId="15" xfId="0" applyFont="1" applyBorder="1"/>
    <xf numFmtId="0" fontId="44" fillId="0" borderId="25" xfId="0" applyFont="1" applyBorder="1"/>
    <xf numFmtId="0" fontId="44" fillId="0" borderId="25" xfId="0" applyFont="1" applyBorder="1" applyAlignment="1">
      <alignment horizontal="center"/>
    </xf>
    <xf numFmtId="0" fontId="44" fillId="0" borderId="25" xfId="0" applyFont="1" applyBorder="1" applyAlignment="1">
      <alignment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0" t="s">
        <v>5390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5391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913" zoomScale="70" zoomScaleNormal="70" workbookViewId="0">
      <selection activeCell="A921" sqref="A921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19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1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6" t="s">
        <v>5439</v>
      </c>
      <c r="C1120" s="39">
        <v>0</v>
      </c>
      <c r="D1120" s="117" t="s">
        <v>149</v>
      </c>
      <c r="E1120" s="118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0" customFormat="1" ht="15.75" thickBot="1" x14ac:dyDescent="0.3">
      <c r="A1186" s="113" t="s">
        <v>5435</v>
      </c>
      <c r="C1186" s="110">
        <v>0</v>
      </c>
      <c r="D1186" s="110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0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4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1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6" t="s">
        <v>5438</v>
      </c>
      <c r="C2392" s="39">
        <v>3</v>
      </c>
      <c r="D2392" s="117" t="s">
        <v>157</v>
      </c>
      <c r="E2392" s="118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1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8" customFormat="1" ht="15" x14ac:dyDescent="0.25">
      <c r="A2524" s="109" t="s">
        <v>5428</v>
      </c>
      <c r="C2524" s="108">
        <v>3</v>
      </c>
      <c r="D2524" s="108" t="s">
        <v>149</v>
      </c>
      <c r="E2524" s="108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2" customFormat="1" x14ac:dyDescent="0.2">
      <c r="A2670" s="36" t="s">
        <v>5436</v>
      </c>
      <c r="C2670" s="112">
        <v>1</v>
      </c>
      <c r="D2670" s="112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5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5449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121" t="s">
        <v>5443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3536</v>
      </c>
      <c r="B12" s="44" t="str">
        <f>IF(LEN(VLOOKUP(A12,'Species List'!$A:$G,2,FALSE))=0,"",VLOOKUP(A12,'Species List'!$A:$G,2,FALSE))</f>
        <v>quaking aspen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[FAC]</v>
      </c>
      <c r="H12" s="44">
        <f>VLOOKUP(A12,'Species List'!$A:$G,7,FALSE)</f>
        <v>0</v>
      </c>
      <c r="J12" s="91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3" si="1">VALUE(L12)</f>
        <v>3</v>
      </c>
      <c r="N12" s="107">
        <f t="shared" ref="N12:N77" si="2">L12/$L$153</f>
        <v>9.375E-2</v>
      </c>
      <c r="O12" s="107">
        <f t="shared" ref="O12:O13" si="3">D12*N12</f>
        <v>0.1875</v>
      </c>
    </row>
    <row r="13" spans="1:15" x14ac:dyDescent="0.2">
      <c r="A13" s="122" t="s">
        <v>3654</v>
      </c>
      <c r="B13" s="44" t="str">
        <f>IF(LEN(VLOOKUP(A13,'Species List'!$A:$G,2,FALSE))=0,"",VLOOKUP(A13,'Species List'!$A:$G,2,FALSE))</f>
        <v>black cherry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[FACU]</v>
      </c>
      <c r="H13" s="44">
        <f>VLOOKUP(A13,'Species List'!$A:$G,7,FALSE)</f>
        <v>0</v>
      </c>
      <c r="J13" s="91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7">
        <f t="shared" si="2"/>
        <v>9.375E-2</v>
      </c>
      <c r="O13" s="107">
        <f t="shared" si="3"/>
        <v>0.375</v>
      </c>
    </row>
    <row r="14" spans="1:15" x14ac:dyDescent="0.2">
      <c r="A14" s="122" t="s">
        <v>3855</v>
      </c>
      <c r="B14" s="44" t="str">
        <f>IF(LEN(VLOOKUP(A14,'Species List'!$A:$G,2,FALSE))=0,"",VLOOKUP(A14,'Species List'!$A:$G,2,FALSE))</f>
        <v>black raspberry</v>
      </c>
      <c r="C14" s="44">
        <f>IF(LEN(VLOOKUP(A14,'Species List'!$A:$G,3,FALSE))=0,"",VLOOKUP(A14,'Species List'!$A:$G,3,FALSE))</f>
        <v>2</v>
      </c>
      <c r="D14" s="99">
        <f>VALUE(C14)</f>
        <v>2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91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9.375E-2</v>
      </c>
      <c r="O14" s="85">
        <f>D14*N14</f>
        <v>0.1875</v>
      </c>
    </row>
    <row r="15" spans="1:15" x14ac:dyDescent="0.2">
      <c r="A15" s="122" t="s">
        <v>3689</v>
      </c>
      <c r="B15" s="44" t="str">
        <f>IF(LEN(VLOOKUP(A15,'Species List'!$A:$G,2,FALSE))=0,"",VLOOKUP(A15,'Species List'!$A:$G,2,FALSE))</f>
        <v>northern pin oak</v>
      </c>
      <c r="C15" s="44">
        <f>IF(LEN(VLOOKUP(A15,'Species List'!$A:$G,3,FALSE))=0,"",VLOOKUP(A15,'Species List'!$A:$G,3,FALSE))</f>
        <v>5</v>
      </c>
      <c r="D15" s="99">
        <f t="shared" ref="D15:D78" si="4">VALUE(C15)</f>
        <v>5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91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9.375E-2</v>
      </c>
      <c r="O15" s="98">
        <f t="shared" ref="O15:O78" si="6">D15*N15</f>
        <v>0.46875</v>
      </c>
    </row>
    <row r="16" spans="1:15" x14ac:dyDescent="0.2">
      <c r="A16" s="122" t="s">
        <v>3848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91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9.375E-2</v>
      </c>
      <c r="O16" s="98">
        <f t="shared" si="6"/>
        <v>0.28125</v>
      </c>
    </row>
    <row r="17" spans="1:15" x14ac:dyDescent="0.2">
      <c r="A17" s="122" t="s">
        <v>3755</v>
      </c>
      <c r="B17" s="44" t="str">
        <f>IF(LEN(VLOOKUP(A17,'Species List'!$A:$G,2,FALSE))=0,"",VLOOKUP(A17,'Species List'!$A:$G,2,FALSE))</f>
        <v>common buckthorn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91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85">
        <f t="shared" si="2"/>
        <v>1.5625E-2</v>
      </c>
      <c r="O17" s="98">
        <f t="shared" si="6"/>
        <v>0</v>
      </c>
    </row>
    <row r="18" spans="1:15" x14ac:dyDescent="0.2">
      <c r="A18" s="122" t="s">
        <v>2144</v>
      </c>
      <c r="B18" s="44" t="str">
        <f>IF(LEN(VLOOKUP(A18,'Species List'!$A:$G,2,FALSE))=0,"",VLOOKUP(A18,'Species List'!$A:$G,2,FALSE))</f>
        <v>green ash</v>
      </c>
      <c r="C18" s="44">
        <f>IF(LEN(VLOOKUP(A18,'Species List'!$A:$G,3,FALSE))=0,"",VLOOKUP(A18,'Species List'!$A:$G,3,FALSE))</f>
        <v>2</v>
      </c>
      <c r="D18" s="99">
        <f t="shared" si="4"/>
        <v>2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</v>
      </c>
      <c r="H18" s="44">
        <f>VLOOKUP(A18,'Species List'!$A:$G,7,FALSE)</f>
        <v>0</v>
      </c>
      <c r="J18" s="91" t="s">
        <v>5409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100">
        <f t="shared" si="5"/>
        <v>0.5</v>
      </c>
      <c r="N18" s="85">
        <f t="shared" si="2"/>
        <v>1.5625E-2</v>
      </c>
      <c r="O18" s="98">
        <f t="shared" si="6"/>
        <v>3.125E-2</v>
      </c>
    </row>
    <row r="19" spans="1:15" x14ac:dyDescent="0.2">
      <c r="A19" s="122" t="s">
        <v>2138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[FAC+]</v>
      </c>
      <c r="H19" s="44">
        <f>VLOOKUP(A19,'Species List'!$A:$G,7,FALSE)</f>
        <v>0</v>
      </c>
      <c r="J19" s="91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9.375E-2</v>
      </c>
      <c r="O19" s="98">
        <f t="shared" si="6"/>
        <v>0</v>
      </c>
    </row>
    <row r="20" spans="1:15" x14ac:dyDescent="0.2">
      <c r="A20" s="122" t="s">
        <v>3762</v>
      </c>
      <c r="B20" s="44" t="str">
        <f>IF(LEN(VLOOKUP(A20,'Species List'!$A:$G,2,FALSE))=0,"",VLOOKUP(A20,'Species List'!$A:$G,2,FALSE))</f>
        <v>smooth sumac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9.375E-2</v>
      </c>
      <c r="O20" s="98">
        <f t="shared" si="6"/>
        <v>0.1875</v>
      </c>
    </row>
    <row r="21" spans="1:15" x14ac:dyDescent="0.2">
      <c r="A21" s="122" t="s">
        <v>4597</v>
      </c>
      <c r="B21" s="44" t="str">
        <f>IF(LEN(VLOOKUP(A21,'Species List'!$A:$G,2,FALSE))=0,"",VLOOKUP(A21,'Species List'!$A:$G,2,FALSE))</f>
        <v>Siberian elm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UPL</v>
      </c>
      <c r="H21" s="44">
        <f>VLOOKUP(A21,'Species List'!$A:$G,7,FALSE)</f>
        <v>0</v>
      </c>
      <c r="J21" s="91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9.375E-2</v>
      </c>
      <c r="O21" s="98">
        <f t="shared" si="6"/>
        <v>0</v>
      </c>
    </row>
    <row r="22" spans="1:15" x14ac:dyDescent="0.2">
      <c r="A22" s="122" t="s">
        <v>4814</v>
      </c>
      <c r="B22" s="44" t="str">
        <f>IF(LEN(VLOOKUP(A22,'Species List'!$A:$G,2,FALSE))=0,"",VLOOKUP(A22,'Species List'!$A:$G,2,FALSE))</f>
        <v>prickly ash</v>
      </c>
      <c r="C22" s="44">
        <f>IF(LEN(VLOOKUP(A22,'Species List'!$A:$G,3,FALSE))=0,"",VLOOKUP(A22,'Species List'!$A:$G,3,FALSE))</f>
        <v>3</v>
      </c>
      <c r="D22" s="99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91" t="s">
        <v>5409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100">
        <f t="shared" si="5"/>
        <v>0.5</v>
      </c>
      <c r="N22" s="85">
        <f t="shared" si="2"/>
        <v>1.5625E-2</v>
      </c>
      <c r="O22" s="98">
        <f t="shared" si="6"/>
        <v>4.6875E-2</v>
      </c>
    </row>
    <row r="23" spans="1:15" x14ac:dyDescent="0.2">
      <c r="A23" s="122" t="s">
        <v>5444</v>
      </c>
      <c r="B23" s="44" t="e">
        <f>IF(LEN(VLOOKUP(A23,'Species List'!$A:$G,2,FALSE))=0,"",VLOOKUP(A23,'Species List'!$A:$G,2,FALSE))</f>
        <v>#N/A</v>
      </c>
      <c r="C23" s="44">
        <v>5</v>
      </c>
      <c r="D23" s="99">
        <f t="shared" si="4"/>
        <v>5</v>
      </c>
      <c r="E23" s="44" t="s">
        <v>157</v>
      </c>
      <c r="F23" s="44" t="s">
        <v>147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 t="s">
        <v>5409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100">
        <f t="shared" si="5"/>
        <v>0.5</v>
      </c>
      <c r="N23" s="85">
        <f t="shared" si="2"/>
        <v>1.5625E-2</v>
      </c>
      <c r="O23" s="98">
        <f t="shared" si="6"/>
        <v>7.8125E-2</v>
      </c>
    </row>
    <row r="24" spans="1:15" x14ac:dyDescent="0.2">
      <c r="A24" s="122" t="s">
        <v>159</v>
      </c>
      <c r="B24" s="44" t="str">
        <f>IF(LEN(VLOOKUP(A24,'Species List'!$A:$G,2,FALSE))=0,"",VLOOKUP(A24,'Species List'!$A:$G,2,FALSE))</f>
        <v>amur maple</v>
      </c>
      <c r="C24" s="44">
        <f>IF(LEN(VLOOKUP(A24,'Species List'!$A:$G,3,FALSE))=0,"",VLOOKUP(A24,'Species List'!$A:$G,3,FALSE))</f>
        <v>0</v>
      </c>
      <c r="D24" s="99">
        <f t="shared" si="4"/>
        <v>0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91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9.375E-2</v>
      </c>
      <c r="O24" s="98">
        <f t="shared" si="6"/>
        <v>0</v>
      </c>
    </row>
    <row r="25" spans="1:15" x14ac:dyDescent="0.2">
      <c r="A25" s="122" t="s">
        <v>4765</v>
      </c>
      <c r="B25" s="44" t="str">
        <f>IF(LEN(VLOOKUP(A25,'Species List'!$A:$G,2,FALSE))=0,"",VLOOKUP(A25,'Species List'!$A:$G,2,FALSE))</f>
        <v>wild grape</v>
      </c>
      <c r="C25" s="44">
        <f>IF(LEN(VLOOKUP(A25,'Species List'!$A:$G,3,FALSE))=0,"",VLOOKUP(A25,'Species List'!$A:$G,3,FALSE))</f>
        <v>2</v>
      </c>
      <c r="D25" s="99">
        <f t="shared" si="4"/>
        <v>2</v>
      </c>
      <c r="E25" s="44" t="str">
        <f>IF(LEN(VLOOKUP(A25,'Species List'!$A:$G,4,FALSE))=0,"",VLOOKUP(A25,'Species List'!$A:$G,4,FALSE))</f>
        <v>C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FACW-</v>
      </c>
      <c r="H25" s="44">
        <f>VLOOKUP(A25,'Species List'!$A:$G,7,FALSE)</f>
        <v>0</v>
      </c>
      <c r="J25" s="105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9.375E-2</v>
      </c>
      <c r="O25" s="98">
        <f t="shared" si="6"/>
        <v>0.1875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32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5445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4210</v>
      </c>
      <c r="B12" s="44" t="str">
        <f>IF(LEN(VLOOKUP(A12,'Species List'!$A:$G,2,FALSE))=0,"",VLOOKUP(A12,'Species List'!$A:$G,2,FALSE))</f>
        <v>late goldenrod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4" si="1">VALUE(L12)</f>
        <v>15</v>
      </c>
      <c r="N12" s="107">
        <f t="shared" ref="N12:N13" si="2">L12/$L$153</f>
        <v>0.14423076923076922</v>
      </c>
      <c r="O12" s="107">
        <f t="shared" ref="O12:O13" si="3">D12*N12</f>
        <v>0.14423076923076922</v>
      </c>
    </row>
    <row r="13" spans="1:15" x14ac:dyDescent="0.2">
      <c r="A13" s="122" t="s">
        <v>2649</v>
      </c>
      <c r="B13" s="44" t="str">
        <f>IF(LEN(VLOOKUP(A13,'Species List'!$A:$G,2,FALSE))=0,"",VLOOKUP(A13,'Species List'!$A:$G,2,FALSE))</f>
        <v>round-headed bush clover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7">
        <f t="shared" si="2"/>
        <v>2.8846153846153848E-2</v>
      </c>
      <c r="O13" s="107">
        <f t="shared" si="3"/>
        <v>8.6538461538461536E-2</v>
      </c>
    </row>
    <row r="14" spans="1:15" x14ac:dyDescent="0.2">
      <c r="A14" s="122" t="s">
        <v>2946</v>
      </c>
      <c r="B14" s="44" t="str">
        <f>IF(LEN(VLOOKUP(A14,'Species List'!$A:$G,2,FALSE))=0,"",VLOOKUP(A14,'Species List'!$A:$G,2,FALSE))</f>
        <v>wild bergamot</v>
      </c>
      <c r="C14" s="44">
        <f>IF(LEN(VLOOKUP(A14,'Species List'!$A:$G,3,FALSE))=0,"",VLOOKUP(A14,'Species List'!$A:$G,3,FALSE))</f>
        <v>3</v>
      </c>
      <c r="D14" s="99">
        <f>VALUE(C14)</f>
        <v>3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3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0.14423076923076922</v>
      </c>
      <c r="O14" s="85">
        <f>D14*N14</f>
        <v>0.43269230769230765</v>
      </c>
    </row>
    <row r="15" spans="1:15" x14ac:dyDescent="0.2">
      <c r="A15" s="122" t="s">
        <v>1514</v>
      </c>
      <c r="B15" s="44" t="str">
        <f>IF(LEN(VLOOKUP(A15,'Species List'!$A:$G,2,FALSE))=0,"",VLOOKUP(A15,'Species List'!$A:$G,2,FALSE))</f>
        <v>rattlebox</v>
      </c>
      <c r="C15" s="44">
        <f>IF(LEN(VLOOKUP(A15,'Species List'!$A:$G,3,FALSE))=0,"",VLOOKUP(A15,'Species List'!$A:$G,3,FALSE))</f>
        <v>3</v>
      </c>
      <c r="D15" s="99">
        <f t="shared" ref="D15:D78" si="4">VALUE(C15)</f>
        <v>3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 t="str">
        <f>VLOOKUP(A15,'Species List'!$A:$G,7,FALSE)</f>
        <v>SC</v>
      </c>
      <c r="J15" s="123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0.14423076923076922</v>
      </c>
      <c r="O15" s="98">
        <f t="shared" ref="O15:O78" si="7">D15*N15</f>
        <v>0.43269230769230765</v>
      </c>
    </row>
    <row r="16" spans="1:15" x14ac:dyDescent="0.2">
      <c r="A16" s="122" t="s">
        <v>320</v>
      </c>
      <c r="B16" s="44" t="str">
        <f>IF(LEN(VLOOKUP(A16,'Species List'!$A:$G,2,FALSE))=0,"",VLOOKUP(A16,'Species List'!$A:$G,2,FALSE))</f>
        <v>common ragweed</v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3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2.8846153846153848E-2</v>
      </c>
      <c r="O16" s="98">
        <f t="shared" si="7"/>
        <v>0</v>
      </c>
    </row>
    <row r="17" spans="1:15" x14ac:dyDescent="0.2">
      <c r="A17" s="122" t="s">
        <v>1419</v>
      </c>
      <c r="B17" s="44" t="str">
        <f>IF(LEN(VLOOKUP(A17,'Species List'!$A:$G,2,FALSE))=0,"",VLOOKUP(A17,'Species List'!$A:$G,2,FALSE))</f>
        <v>horseweed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[FAC-]</v>
      </c>
      <c r="H17" s="44">
        <f>VLOOKUP(A17,'Species List'!$A:$G,7,FALSE)</f>
        <v>0</v>
      </c>
      <c r="J17" s="123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2.8846153846153848E-2</v>
      </c>
      <c r="O17" s="98">
        <f t="shared" si="7"/>
        <v>0</v>
      </c>
    </row>
    <row r="18" spans="1:15" x14ac:dyDescent="0.2">
      <c r="A18" s="122" t="s">
        <v>3660</v>
      </c>
      <c r="B18" s="44" t="str">
        <f>IF(LEN(VLOOKUP(A18,'Species List'!$A:$G,2,FALSE))=0,"",VLOOKUP(A18,'Species List'!$A:$G,2,FALSE))</f>
        <v>sweet everlasting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2.8846153846153848E-2</v>
      </c>
      <c r="O18" s="98">
        <f t="shared" si="7"/>
        <v>8.6538461538461536E-2</v>
      </c>
    </row>
    <row r="19" spans="1:15" x14ac:dyDescent="0.2">
      <c r="A19" s="122" t="s">
        <v>3895</v>
      </c>
      <c r="B19" s="44" t="str">
        <f>IF(LEN(VLOOKUP(A19,'Species List'!$A:$G,2,FALSE))=0,"",VLOOKUP(A19,'Species List'!$A:$G,2,FALSE))</f>
        <v>common sheep sorrel</v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23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2.8846153846153848E-2</v>
      </c>
      <c r="O19" s="98">
        <f t="shared" si="7"/>
        <v>0</v>
      </c>
    </row>
    <row r="20" spans="1:15" x14ac:dyDescent="0.2">
      <c r="A20" s="122" t="s">
        <v>4433</v>
      </c>
      <c r="B20" s="44" t="str">
        <f>IF(LEN(VLOOKUP(A20,'Species List'!$A:$G,2,FALSE))=0,"",VLOOKUP(A20,'Species List'!$A:$G,2,FALSE))</f>
        <v>awl aster</v>
      </c>
      <c r="C20" s="44">
        <f>IF(LEN(VLOOKUP(A20,'Species List'!$A:$G,3,FALSE))=0,"",VLOOKUP(A20,'Species List'!$A:$G,3,FALSE))</f>
        <v>1</v>
      </c>
      <c r="D20" s="99">
        <f t="shared" si="4"/>
        <v>1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 t="str">
        <f>VLOOKUP(A20,'Species List'!$A:$G,7,FALSE)</f>
        <v>W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2.8846153846153848E-2</v>
      </c>
      <c r="O20" s="98">
        <f t="shared" si="7"/>
        <v>2.8846153846153848E-2</v>
      </c>
    </row>
    <row r="21" spans="1:15" x14ac:dyDescent="0.2">
      <c r="A21" s="122" t="s">
        <v>556</v>
      </c>
      <c r="B21" s="44" t="str">
        <f>IF(LEN(VLOOKUP(A21,'Species List'!$A:$G,2,FALSE))=0,"",VLOOKUP(A21,'Species List'!$A:$G,2,FALSE))</f>
        <v>whorled milkweed</v>
      </c>
      <c r="C21" s="44">
        <f>IF(LEN(VLOOKUP(A21,'Species List'!$A:$G,3,FALSE))=0,"",VLOOKUP(A21,'Species List'!$A:$G,3,FALSE))</f>
        <v>2</v>
      </c>
      <c r="D21" s="99">
        <f t="shared" si="4"/>
        <v>2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2.8846153846153848E-2</v>
      </c>
      <c r="O21" s="98">
        <f t="shared" si="7"/>
        <v>5.7692307692307696E-2</v>
      </c>
    </row>
    <row r="22" spans="1:15" x14ac:dyDescent="0.2">
      <c r="A22" s="122" t="s">
        <v>551</v>
      </c>
      <c r="B22" s="44" t="str">
        <f>IF(LEN(VLOOKUP(A22,'Species List'!$A:$G,2,FALSE))=0,"",VLOOKUP(A22,'Species List'!$A:$G,2,FALSE))</f>
        <v>common milkweed</v>
      </c>
      <c r="C22" s="44">
        <f>IF(LEN(VLOOKUP(A22,'Species List'!$A:$G,3,FALSE))=0,"",VLOOKUP(A22,'Species List'!$A:$G,3,FALSE))</f>
        <v>1</v>
      </c>
      <c r="D22" s="99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3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2.8846153846153848E-2</v>
      </c>
      <c r="O22" s="98">
        <f t="shared" si="7"/>
        <v>2.8846153846153848E-2</v>
      </c>
    </row>
    <row r="23" spans="1:15" x14ac:dyDescent="0.2">
      <c r="A23" s="122" t="s">
        <v>186</v>
      </c>
      <c r="B23" s="44" t="str">
        <f>IF(LEN(VLOOKUP(A23,'Species List'!$A:$G,2,FALSE))=0,"",VLOOKUP(A23,'Species List'!$A:$G,2,FALSE))</f>
        <v>common yarrow</v>
      </c>
      <c r="C23" s="44">
        <f>IF(LEN(VLOOKUP(A23,'Species List'!$A:$G,3,FALSE))=0,"",VLOOKUP(A23,'Species List'!$A:$G,3,FALSE))</f>
        <v>1</v>
      </c>
      <c r="D23" s="99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3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2.8846153846153848E-2</v>
      </c>
      <c r="O23" s="98">
        <f t="shared" si="7"/>
        <v>2.8846153846153848E-2</v>
      </c>
    </row>
    <row r="24" spans="1:15" x14ac:dyDescent="0.2">
      <c r="A24" s="122" t="s">
        <v>2576</v>
      </c>
      <c r="B24" s="44" t="str">
        <f>IF(LEN(VLOOKUP(A24,'Species List'!$A:$G,2,FALSE))=0,"",VLOOKUP(A24,'Species List'!$A:$G,2,FALSE))</f>
        <v>Canada wild lettuce</v>
      </c>
      <c r="C24" s="44">
        <f>IF(LEN(VLOOKUP(A24,'Species List'!$A:$G,3,FALSE))=0,"",VLOOKUP(A24,'Species List'!$A:$G,3,FALSE))</f>
        <v>2</v>
      </c>
      <c r="D24" s="99">
        <f t="shared" si="4"/>
        <v>2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FACU+</v>
      </c>
      <c r="H24" s="44">
        <f>VLOOKUP(A24,'Species List'!$A:$G,7,FALSE)</f>
        <v>0</v>
      </c>
      <c r="J24" s="123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2.8846153846153848E-2</v>
      </c>
      <c r="O24" s="98">
        <f t="shared" si="7"/>
        <v>5.7692307692307696E-2</v>
      </c>
    </row>
    <row r="25" spans="1:15" x14ac:dyDescent="0.2">
      <c r="A25" s="122" t="s">
        <v>1994</v>
      </c>
      <c r="B25" s="44" t="str">
        <f>IF(LEN(VLOOKUP(A25,'Species List'!$A:$G,2,FALSE))=0,"",VLOOKUP(A25,'Species List'!$A:$G,2,FALSE))</f>
        <v>daisy fleabane</v>
      </c>
      <c r="C25" s="44">
        <f>IF(LEN(VLOOKUP(A25,'Species List'!$A:$G,3,FALSE))=0,"",VLOOKUP(A25,'Species List'!$A:$G,3,FALSE))</f>
        <v>2</v>
      </c>
      <c r="D25" s="99">
        <f t="shared" si="4"/>
        <v>2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FAC-</v>
      </c>
      <c r="H25" s="44">
        <f>VLOOKUP(A25,'Species List'!$A:$G,7,FALSE)</f>
        <v>0</v>
      </c>
      <c r="J25" s="123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2.8846153846153848E-2</v>
      </c>
      <c r="O25" s="98">
        <f t="shared" si="7"/>
        <v>5.7692307692307696E-2</v>
      </c>
    </row>
    <row r="26" spans="1:15" x14ac:dyDescent="0.2">
      <c r="A26" s="122" t="s">
        <v>2135</v>
      </c>
      <c r="B26" s="44" t="str">
        <f>IF(LEN(VLOOKUP(A26,'Species List'!$A:$G,2,FALSE))=0,"",VLOOKUP(A26,'Species List'!$A:$G,2,FALSE))</f>
        <v>common strawberry</v>
      </c>
      <c r="C26" s="44">
        <f>IF(LEN(VLOOKUP(A26,'Species List'!$A:$G,3,FALSE))=0,"",VLOOKUP(A26,'Species List'!$A:$G,3,FALSE))</f>
        <v>2</v>
      </c>
      <c r="D26" s="99">
        <f t="shared" si="4"/>
        <v>2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FAC-</v>
      </c>
      <c r="H26" s="44">
        <f>VLOOKUP(A26,'Species List'!$A:$G,7,FALSE)</f>
        <v>0</v>
      </c>
      <c r="J26" s="123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2.8846153846153848E-2</v>
      </c>
      <c r="O26" s="98">
        <f t="shared" si="7"/>
        <v>5.7692307692307696E-2</v>
      </c>
    </row>
    <row r="27" spans="1:15" x14ac:dyDescent="0.2">
      <c r="A27" s="122" t="s">
        <v>4219</v>
      </c>
      <c r="B27" s="44" t="str">
        <f>IF(LEN(VLOOKUP(A27,'Species List'!$A:$G,2,FALSE))=0,"",VLOOKUP(A27,'Species List'!$A:$G,2,FALSE))</f>
        <v>giant goldenrod</v>
      </c>
      <c r="C27" s="44">
        <f>IF(LEN(VLOOKUP(A27,'Species List'!$A:$G,3,FALSE))=0,"",VLOOKUP(A27,'Species List'!$A:$G,3,FALSE))</f>
        <v>3</v>
      </c>
      <c r="D27" s="99">
        <f t="shared" si="4"/>
        <v>3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FACW</v>
      </c>
      <c r="H27" s="44">
        <f>VLOOKUP(A27,'Species List'!$A:$G,7,FALSE)</f>
        <v>0</v>
      </c>
      <c r="J27" s="123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2.8846153846153848E-2</v>
      </c>
      <c r="O27" s="98">
        <f t="shared" si="7"/>
        <v>8.6538461538461536E-2</v>
      </c>
    </row>
    <row r="28" spans="1:15" x14ac:dyDescent="0.2">
      <c r="A28" s="122" t="s">
        <v>1658</v>
      </c>
      <c r="B28" s="44" t="str">
        <f>IF(LEN(VLOOKUP(A28,'Species List'!$A:$G,2,FALSE))=0,"",VLOOKUP(A28,'Species List'!$A:$G,2,FALSE))</f>
        <v>pointed-leaved tick trefoil</v>
      </c>
      <c r="C28" s="44">
        <f>IF(LEN(VLOOKUP(A28,'Species List'!$A:$G,3,FALSE))=0,"",VLOOKUP(A28,'Species List'!$A:$G,3,FALSE))</f>
        <v>6</v>
      </c>
      <c r="D28" s="99">
        <f t="shared" si="4"/>
        <v>6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23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2.8846153846153848E-2</v>
      </c>
      <c r="O28" s="98">
        <f t="shared" si="7"/>
        <v>0.17307692307692307</v>
      </c>
    </row>
    <row r="29" spans="1:15" x14ac:dyDescent="0.2">
      <c r="A29" s="122" t="s">
        <v>2131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3</v>
      </c>
      <c r="D29" s="99">
        <f t="shared" si="4"/>
        <v>3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UPL</v>
      </c>
      <c r="H29" s="44">
        <f>VLOOKUP(A29,'Species List'!$A:$G,7,FALSE)</f>
        <v>0</v>
      </c>
      <c r="J29" s="123">
        <v>1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2.8846153846153848E-2</v>
      </c>
      <c r="O29" s="98">
        <f t="shared" si="7"/>
        <v>8.6538461538461536E-2</v>
      </c>
    </row>
    <row r="30" spans="1:15" x14ac:dyDescent="0.2">
      <c r="A30" s="122" t="s">
        <v>3149</v>
      </c>
      <c r="B30" s="44" t="str">
        <f>IF(LEN(VLOOKUP(A30,'Species List'!$A:$G,2,FALSE))=0,"",VLOOKUP(A30,'Species List'!$A:$G,2,FALSE))</f>
        <v>yellow wood sorrel</v>
      </c>
      <c r="C30" s="44">
        <f>IF(LEN(VLOOKUP(A30,'Species List'!$A:$G,3,FALSE))=0,"",VLOOKUP(A30,'Species List'!$A:$G,3,FALSE))</f>
        <v>0</v>
      </c>
      <c r="D30" s="99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[FACU]</v>
      </c>
      <c r="H30" s="44">
        <f>VLOOKUP(A30,'Species List'!$A:$G,7,FALSE)</f>
        <v>0</v>
      </c>
      <c r="J30" s="123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2.8846153846153848E-2</v>
      </c>
      <c r="O30" s="98">
        <f t="shared" si="7"/>
        <v>0</v>
      </c>
    </row>
    <row r="31" spans="1:15" x14ac:dyDescent="0.2">
      <c r="A31" s="122" t="s">
        <v>724</v>
      </c>
      <c r="B31" s="44" t="str">
        <f>IF(LEN(VLOOKUP(A31,'Species List'!$A:$G,2,FALSE))=0,"",VLOOKUP(A31,'Species List'!$A:$G,2,FALSE))</f>
        <v>dissected grapefern</v>
      </c>
      <c r="C31" s="44">
        <f>IF(LEN(VLOOKUP(A31,'Species List'!$A:$G,3,FALSE))=0,"",VLOOKUP(A31,'Species List'!$A:$G,3,FALSE))</f>
        <v>4</v>
      </c>
      <c r="D31" s="99">
        <f t="shared" si="4"/>
        <v>4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</v>
      </c>
      <c r="H31" s="44">
        <f>VLOOKUP(A31,'Species List'!$A:$G,7,FALSE)</f>
        <v>0</v>
      </c>
      <c r="J31" s="123" t="s">
        <v>5409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100">
        <f t="shared" si="5"/>
        <v>0.5</v>
      </c>
      <c r="N31" s="98">
        <f t="shared" si="6"/>
        <v>4.807692307692308E-3</v>
      </c>
      <c r="O31" s="98">
        <f t="shared" si="7"/>
        <v>1.9230769230769232E-2</v>
      </c>
    </row>
    <row r="32" spans="1:15" x14ac:dyDescent="0.2">
      <c r="A32" s="122" t="s">
        <v>643</v>
      </c>
      <c r="B32" s="44" t="str">
        <f>IF(LEN(VLOOKUP(A32,'Species List'!$A:$G,2,FALSE))=0,"",VLOOKUP(A32,'Species List'!$A:$G,2,FALSE))</f>
        <v>hoary alyssum</v>
      </c>
      <c r="C32" s="44">
        <f>IF(LEN(VLOOKUP(A32,'Species List'!$A:$G,3,FALSE))=0,"",VLOOKUP(A32,'Species List'!$A:$G,3,FALSE))</f>
        <v>0</v>
      </c>
      <c r="D32" s="99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23" t="s">
        <v>5409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100">
        <f t="shared" si="5"/>
        <v>0.5</v>
      </c>
      <c r="N32" s="98">
        <f t="shared" si="6"/>
        <v>4.807692307692308E-3</v>
      </c>
      <c r="O32" s="98">
        <f t="shared" si="7"/>
        <v>0</v>
      </c>
    </row>
    <row r="33" spans="1:15" x14ac:dyDescent="0.2">
      <c r="A33" s="122" t="s">
        <v>4154</v>
      </c>
      <c r="B33" s="44" t="str">
        <f>IF(LEN(VLOOKUP(A33,'Species List'!$A:$G,2,FALSE))=0,"",VLOOKUP(A33,'Species List'!$A:$G,2,FALSE))</f>
        <v>white campion</v>
      </c>
      <c r="C33" s="44">
        <f>IF(LEN(VLOOKUP(A33,'Species List'!$A:$G,3,FALSE))=0,"",VLOOKUP(A33,'Species List'!$A:$G,3,FALSE))</f>
        <v>0</v>
      </c>
      <c r="D33" s="99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23" t="s">
        <v>5409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100">
        <f t="shared" si="5"/>
        <v>0.5</v>
      </c>
      <c r="N33" s="98">
        <f t="shared" si="6"/>
        <v>4.807692307692308E-3</v>
      </c>
      <c r="O33" s="98">
        <f t="shared" si="7"/>
        <v>0</v>
      </c>
    </row>
    <row r="34" spans="1:15" x14ac:dyDescent="0.2">
      <c r="A34" s="122" t="s">
        <v>1653</v>
      </c>
      <c r="B34" s="44" t="str">
        <f>IF(LEN(VLOOKUP(A34,'Species List'!$A:$G,2,FALSE))=0,"",VLOOKUP(A34,'Species List'!$A:$G,2,FALSE))</f>
        <v>Canada tick trefoil</v>
      </c>
      <c r="C34" s="44">
        <f>IF(LEN(VLOOKUP(A34,'Species List'!$A:$G,3,FALSE))=0,"",VLOOKUP(A34,'Species List'!$A:$G,3,FALSE))</f>
        <v>4</v>
      </c>
      <c r="D34" s="99">
        <f t="shared" si="4"/>
        <v>4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FAC-</v>
      </c>
      <c r="H34" s="44">
        <f>VLOOKUP(A34,'Species List'!$A:$G,7,FALSE)</f>
        <v>0</v>
      </c>
      <c r="J34" s="123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2.8846153846153848E-2</v>
      </c>
      <c r="O34" s="98">
        <f t="shared" si="7"/>
        <v>0.11538461538461539</v>
      </c>
    </row>
    <row r="35" spans="1:15" x14ac:dyDescent="0.2">
      <c r="A35" s="122" t="s">
        <v>1374</v>
      </c>
      <c r="B35" s="44" t="str">
        <f>IF(LEN(VLOOKUP(A35,'Species List'!$A:$G,2,FALSE))=0,"",VLOOKUP(A35,'Species List'!$A:$G,2,FALSE))</f>
        <v>field thistle</v>
      </c>
      <c r="C35" s="44">
        <f>IF(LEN(VLOOKUP(A35,'Species List'!$A:$G,3,FALSE))=0,"",VLOOKUP(A35,'Species List'!$A:$G,3,FALSE))</f>
        <v>4</v>
      </c>
      <c r="D35" s="99">
        <f t="shared" si="4"/>
        <v>4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</v>
      </c>
      <c r="H35" s="44">
        <f>VLOOKUP(A35,'Species List'!$A:$G,7,FALSE)</f>
        <v>0</v>
      </c>
      <c r="J35" s="123" t="s">
        <v>5409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100">
        <f t="shared" si="5"/>
        <v>0.5</v>
      </c>
      <c r="N35" s="98">
        <f t="shared" si="6"/>
        <v>4.807692307692308E-3</v>
      </c>
      <c r="O35" s="98">
        <f t="shared" si="7"/>
        <v>1.9230769230769232E-2</v>
      </c>
    </row>
    <row r="36" spans="1:15" x14ac:dyDescent="0.2">
      <c r="A36" s="122" t="s">
        <v>4466</v>
      </c>
      <c r="B36" s="44" t="str">
        <f>IF(LEN(VLOOKUP(A36,'Species List'!$A:$G,2,FALSE))=0,"",VLOOKUP(A36,'Species List'!$A:$G,2,FALSE))</f>
        <v>common dandelion</v>
      </c>
      <c r="C36" s="44">
        <f>IF(LEN(VLOOKUP(A36,'Species List'!$A:$G,3,FALSE))=0,"",VLOOKUP(A36,'Species List'!$A:$G,3,FALSE))</f>
        <v>0</v>
      </c>
      <c r="D36" s="99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Introduced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23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2.8846153846153848E-2</v>
      </c>
      <c r="O36" s="98">
        <f t="shared" si="7"/>
        <v>0</v>
      </c>
    </row>
    <row r="37" spans="1:15" x14ac:dyDescent="0.2">
      <c r="A37" s="122" t="s">
        <v>5446</v>
      </c>
      <c r="B37" s="44" t="e">
        <f>IF(LEN(VLOOKUP(A37,'Species List'!$A:$G,2,FALSE))=0,"",VLOOKUP(A37,'Species List'!$A:$G,2,FALSE))</f>
        <v>#N/A</v>
      </c>
      <c r="C37" s="44">
        <v>2</v>
      </c>
      <c r="D37" s="99">
        <f t="shared" si="4"/>
        <v>2</v>
      </c>
      <c r="E37" s="44" t="s">
        <v>149</v>
      </c>
      <c r="F37" s="44" t="s">
        <v>147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3" t="s">
        <v>5407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2.8846153846153848E-2</v>
      </c>
      <c r="O37" s="98">
        <f t="shared" si="7"/>
        <v>5.7692307692307696E-2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104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5447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4032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5</v>
      </c>
      <c r="D12" s="99">
        <f t="shared" ref="D12:D20" si="0">VALUE(C12)</f>
        <v>5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[FACU-]</v>
      </c>
      <c r="H12" s="44">
        <f>VLOOKUP(A12,'Species List'!$A:$G,7,FALSE)</f>
        <v>0</v>
      </c>
      <c r="J12" s="12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78" si="1">VALUE(L12)</f>
        <v>15</v>
      </c>
      <c r="N12" s="107">
        <f t="shared" ref="N12:N77" si="2">L12/$L$153</f>
        <v>0.27027027027027029</v>
      </c>
      <c r="O12" s="107">
        <f t="shared" ref="O12:O78" si="3">D12*N12</f>
        <v>1.3513513513513513</v>
      </c>
    </row>
    <row r="13" spans="1:15" x14ac:dyDescent="0.2">
      <c r="A13" s="122" t="s">
        <v>2000</v>
      </c>
      <c r="B13" s="44" t="str">
        <f>IF(LEN(VLOOKUP(A13,'Species List'!$A:$G,2,FALSE))=0,"",VLOOKUP(A13,'Species List'!$A:$G,2,FALSE))</f>
        <v>hairy cupgrass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7">
        <f t="shared" si="2"/>
        <v>0.27027027027027029</v>
      </c>
      <c r="O13" s="107">
        <f t="shared" si="3"/>
        <v>0</v>
      </c>
    </row>
    <row r="14" spans="1:15" x14ac:dyDescent="0.2">
      <c r="A14" s="122" t="s">
        <v>3182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1</v>
      </c>
      <c r="D14" s="99">
        <f t="shared" si="0"/>
        <v>1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23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106">
        <f t="shared" si="2"/>
        <v>0.27027027027027029</v>
      </c>
      <c r="O14" s="106">
        <f t="shared" si="3"/>
        <v>0.27027027027027029</v>
      </c>
    </row>
    <row r="15" spans="1:15" x14ac:dyDescent="0.2">
      <c r="A15" s="122" t="s">
        <v>4116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0</v>
      </c>
      <c r="D15" s="99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3" t="s">
        <v>5409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100">
        <f t="shared" si="1"/>
        <v>0.5</v>
      </c>
      <c r="N15" s="98">
        <f t="shared" si="2"/>
        <v>9.0090090090090089E-3</v>
      </c>
      <c r="O15" s="98">
        <f t="shared" si="3"/>
        <v>0</v>
      </c>
    </row>
    <row r="16" spans="1:15" x14ac:dyDescent="0.2">
      <c r="A16" s="122" t="s">
        <v>1882</v>
      </c>
      <c r="B16" s="44" t="str">
        <f>IF(LEN(VLOOKUP(A16,'Species List'!$A:$G,2,FALSE))=0,"",VLOOKUP(A16,'Species List'!$A:$G,2,FALSE))</f>
        <v>quackgrass</v>
      </c>
      <c r="C16" s="44">
        <f>IF(LEN(VLOOKUP(A16,'Species List'!$A:$G,3,FALSE))=0,"",VLOOKUP(A16,'Species List'!$A:$G,3,FALSE))</f>
        <v>0</v>
      </c>
      <c r="D16" s="99">
        <f t="shared" si="0"/>
        <v>0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[FACU]</v>
      </c>
      <c r="H16" s="44">
        <f>VLOOKUP(A16,'Species List'!$A:$G,7,FALSE)</f>
        <v>0</v>
      </c>
      <c r="J16" s="123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5.4054054054054057E-2</v>
      </c>
      <c r="O16" s="98">
        <f t="shared" si="3"/>
        <v>0</v>
      </c>
    </row>
    <row r="17" spans="1:15" x14ac:dyDescent="0.2">
      <c r="A17" s="122" t="s">
        <v>1566</v>
      </c>
      <c r="B17" s="44" t="str">
        <f>IF(LEN(VLOOKUP(A17,'Species List'!$A:$G,2,FALSE))=0,"",VLOOKUP(A17,'Species List'!$A:$G,2,FALSE))</f>
        <v>slender nut sedge</v>
      </c>
      <c r="C17" s="44">
        <f>IF(LEN(VLOOKUP(A17,'Species List'!$A:$G,3,FALSE))=0,"",VLOOKUP(A17,'Species List'!$A:$G,3,FALSE))</f>
        <v>6</v>
      </c>
      <c r="D17" s="99">
        <f t="shared" si="0"/>
        <v>6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[FACU-]</v>
      </c>
      <c r="H17" s="44">
        <f>VLOOKUP(A17,'Species List'!$A:$G,7,FALSE)</f>
        <v>0</v>
      </c>
      <c r="J17" s="123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1"/>
        <v>0.5</v>
      </c>
      <c r="N17" s="98">
        <f t="shared" si="2"/>
        <v>9.0090090090090089E-3</v>
      </c>
      <c r="O17" s="98">
        <f t="shared" si="3"/>
        <v>5.4054054054054057E-2</v>
      </c>
    </row>
    <row r="18" spans="1:15" x14ac:dyDescent="0.2">
      <c r="A18" s="122" t="s">
        <v>3443</v>
      </c>
      <c r="B18" s="44" t="str">
        <f>IF(LEN(VLOOKUP(A18,'Species List'!$A:$G,2,FALSE))=0,"",VLOOKUP(A18,'Species List'!$A:$G,2,FALSE))</f>
        <v>Kentucky bluegrass</v>
      </c>
      <c r="C18" s="44">
        <f>IF(LEN(VLOOKUP(A18,'Species List'!$A:$G,3,FALSE))=0,"",VLOOKUP(A18,'Species List'!$A:$G,3,FALSE))</f>
        <v>0</v>
      </c>
      <c r="D18" s="99">
        <f t="shared" si="0"/>
        <v>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1"/>
        <v>3</v>
      </c>
      <c r="N18" s="98">
        <f t="shared" si="2"/>
        <v>5.4054054054054057E-2</v>
      </c>
      <c r="O18" s="98">
        <f t="shared" si="3"/>
        <v>0</v>
      </c>
    </row>
    <row r="19" spans="1:15" x14ac:dyDescent="0.2">
      <c r="A19" s="124" t="s">
        <v>5448</v>
      </c>
      <c r="B19" s="44" t="e">
        <f>IF(LEN(VLOOKUP(A19,'Species List'!$A:$G,2,FALSE))=0,"",VLOOKUP(A19,'Species List'!$A:$G,2,FALSE))</f>
        <v>#N/A</v>
      </c>
      <c r="C19" s="44">
        <v>3</v>
      </c>
      <c r="D19" s="99">
        <f t="shared" si="0"/>
        <v>3</v>
      </c>
      <c r="E19" s="44" t="s">
        <v>189</v>
      </c>
      <c r="F19" s="44" t="s">
        <v>147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1"/>
        <v>3</v>
      </c>
      <c r="N19" s="98">
        <f t="shared" si="2"/>
        <v>5.4054054054054057E-2</v>
      </c>
      <c r="O19" s="98">
        <f t="shared" si="3"/>
        <v>0.16216216216216217</v>
      </c>
    </row>
    <row r="20" spans="1:15" x14ac:dyDescent="0.2">
      <c r="A20" s="122" t="s">
        <v>5440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9">
        <f t="shared" si="0"/>
        <v>3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3" t="s">
        <v>5409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100">
        <f t="shared" si="1"/>
        <v>0.5</v>
      </c>
      <c r="N20" s="98">
        <f t="shared" si="2"/>
        <v>9.0090090090090089E-3</v>
      </c>
      <c r="O20" s="98">
        <f t="shared" si="3"/>
        <v>2.7027027027027029E-2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55.5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10</v>
      </c>
      <c r="C4" s="102">
        <f>COUNTIF(Forbs!$F$12:$F$150,"Native")</f>
        <v>22</v>
      </c>
      <c r="D4" s="102">
        <f>COUNTIF(Grasses!$F$12:$F$151,"Native")</f>
        <v>5</v>
      </c>
      <c r="E4" s="102">
        <f>AVERAGE(B4:D4)</f>
        <v>12.333333333333334</v>
      </c>
      <c r="F4" s="102">
        <f>SUM(B4:D4)</f>
        <v>37</v>
      </c>
    </row>
    <row r="5" spans="1:6" ht="18" x14ac:dyDescent="0.25">
      <c r="A5" s="53" t="s">
        <v>4842</v>
      </c>
      <c r="B5" s="102">
        <f>COUNTIF(Woody!$F12:$F201,"Introduced")</f>
        <v>4</v>
      </c>
      <c r="C5" s="102">
        <f>COUNTIF(Forbs!$F12:$F201,"Introduced")</f>
        <v>4</v>
      </c>
      <c r="D5" s="102">
        <f>COUNTIF(Grasses!$F12:$F201,"Introduced")</f>
        <v>4</v>
      </c>
      <c r="E5" s="102">
        <f t="shared" ref="E5:E6" si="0">AVERAGE(B5:D5)</f>
        <v>4</v>
      </c>
      <c r="F5" s="102">
        <f>SUM(B5:D5)</f>
        <v>12</v>
      </c>
    </row>
    <row r="6" spans="1:6" s="81" customFormat="1" ht="21" x14ac:dyDescent="0.35">
      <c r="A6" s="53" t="s">
        <v>5411</v>
      </c>
      <c r="B6" s="102">
        <f>SUM(B4:B5)</f>
        <v>14</v>
      </c>
      <c r="C6" s="102">
        <f>SUM(C4:C5)</f>
        <v>26</v>
      </c>
      <c r="D6" s="102">
        <f>SUM(D4:D5)</f>
        <v>9</v>
      </c>
      <c r="E6" s="102">
        <f t="shared" si="0"/>
        <v>16.333333333333332</v>
      </c>
      <c r="F6" s="102">
        <f>SUM(B6:D6)</f>
        <v>49</v>
      </c>
    </row>
    <row r="7" spans="1:6" ht="18" x14ac:dyDescent="0.25">
      <c r="A7" s="53" t="s">
        <v>4843</v>
      </c>
      <c r="B7" s="102">
        <f>AVERAGEIF(Woody!D12:D152,"&gt;0")</f>
        <v>3</v>
      </c>
      <c r="C7" s="102">
        <f>AVERAGEIF(Forbs!D12:D152,"&gt;0")</f>
        <v>2.6315789473684212</v>
      </c>
      <c r="D7" s="102">
        <f>AVERAGEIF(Grasses!D12:D152,"&gt;0")</f>
        <v>3.6</v>
      </c>
      <c r="E7" s="102">
        <f>AVERAGE(B7:D7)</f>
        <v>3.0771929824561401</v>
      </c>
      <c r="F7" s="102">
        <f>(SUMIF(Woody!D12:D152,"&gt;0")+SUMIF(Forbs!D12:D152,"&gt;0")+SUMIF(Grasses!D12:D152,"&gt;0"))/(COUNTIF(Woody!D12:D152,"&gt;0")+COUNTIF(Forbs!D12:D152,"&gt;0")+COUNTIF(Grasses!D12:D152,"&gt;0"))</f>
        <v>2.8823529411764706</v>
      </c>
    </row>
    <row r="8" spans="1:6" s="31" customFormat="1" ht="21" x14ac:dyDescent="0.35">
      <c r="A8" s="53" t="s">
        <v>5412</v>
      </c>
      <c r="B8" s="102">
        <f>AVERAGEIF(Woody!D12:D152,"&gt;=0")</f>
        <v>2.1428571428571428</v>
      </c>
      <c r="C8" s="102">
        <f>AVERAGEIF(Forbs!D12:D152,"&gt;=0")</f>
        <v>1.9230769230769231</v>
      </c>
      <c r="D8" s="102">
        <f>AVERAGEIF(Grasses!D12:D152,"&gt;=0")</f>
        <v>2</v>
      </c>
      <c r="E8" s="102">
        <f>AVERAGE(B8:D8)</f>
        <v>2.0219780219780219</v>
      </c>
      <c r="F8" s="102">
        <f>(SUMIF(Woody!D12:D152,"&gt;=0")+SUMIF(Forbs!D12:D152,"&gt;=0")+SUMIF(Grasses!D12:D152,"&gt;=0"))/(COUNTIF(Woody!D12:D152,"&gt;=0")+COUNTIF(Forbs!D12:D152,"&gt;=0")+COUNTIF(Grasses!D12:D152,"&gt;=0"))</f>
        <v>2</v>
      </c>
    </row>
    <row r="9" spans="1:6" ht="18" x14ac:dyDescent="0.25">
      <c r="A9" s="53" t="s">
        <v>4836</v>
      </c>
      <c r="B9" s="102">
        <f>SQRT(B4)*B7</f>
        <v>9.4868329805051381</v>
      </c>
      <c r="C9" s="102">
        <f>SQRT(C4)*C7</f>
        <v>12.343199367956394</v>
      </c>
      <c r="D9" s="102">
        <f>SQRT(D4)*D7</f>
        <v>8.0498447189992444</v>
      </c>
      <c r="E9" s="102">
        <f>SQRT(E4)*E7</f>
        <v>10.806746597955383</v>
      </c>
      <c r="F9" s="102">
        <f>SQRT(F4)*F7</f>
        <v>17.532668469683102</v>
      </c>
    </row>
    <row r="10" spans="1:6" s="82" customFormat="1" ht="21" x14ac:dyDescent="0.35">
      <c r="A10" s="53" t="s">
        <v>5413</v>
      </c>
      <c r="B10" s="102">
        <f>SQRT(B6)*B8</f>
        <v>8.0178372573727312</v>
      </c>
      <c r="C10" s="102">
        <f>SQRT(C6)*C8</f>
        <v>9.8058067569092007</v>
      </c>
      <c r="D10" s="102">
        <f>SQRT(D6)*D8</f>
        <v>6</v>
      </c>
      <c r="E10" s="102">
        <f>SQRT(E6)*E8</f>
        <v>8.1717268869916264</v>
      </c>
      <c r="F10" s="102">
        <f>SQRT(F6)*F8</f>
        <v>14</v>
      </c>
    </row>
    <row r="11" spans="1:6" ht="18" x14ac:dyDescent="0.25">
      <c r="A11" s="53" t="s">
        <v>4844</v>
      </c>
      <c r="B11" s="102">
        <f>SUMIF(Woody!$M$12:$M$152,"&gt;=0")</f>
        <v>32</v>
      </c>
      <c r="C11" s="102">
        <f>SUMIF(Forbs!$M$12:$M$153,"&gt;=0")</f>
        <v>104</v>
      </c>
      <c r="D11" s="102">
        <f>SUMIF(Grasses!$M$12:$M$152,"&gt;=0")</f>
        <v>55.5</v>
      </c>
      <c r="E11" s="102">
        <f>AVERAGE(B11:D11)</f>
        <v>63.833333333333336</v>
      </c>
      <c r="F11" s="102">
        <f>SUM(B11:D11)</f>
        <v>191.5</v>
      </c>
    </row>
    <row r="12" spans="1:6" ht="18" x14ac:dyDescent="0.25">
      <c r="A12" s="53" t="s">
        <v>5377</v>
      </c>
      <c r="B12" s="102">
        <f>SUMIF(Woody!$F$12:$F$152,"Introduced",Woody!$L$12:$L$152)</f>
        <v>9.5</v>
      </c>
      <c r="C12" s="102">
        <f>SUMIF(Forbs!$F$12:$F$153,"Introduced",Forbs!$L$12:$L$153)</f>
        <v>7</v>
      </c>
      <c r="D12" s="102">
        <f>SUMIF(Grasses!$F$12:$F$152,"Introduced",Grasses!$L$12:$L$152)</f>
        <v>21.5</v>
      </c>
      <c r="E12" s="102">
        <f>AVERAGE(B12:D12)</f>
        <v>12.666666666666666</v>
      </c>
      <c r="F12" s="102">
        <f>SUM(B12:D12)</f>
        <v>38</v>
      </c>
    </row>
    <row r="13" spans="1:6" ht="18.75" thickBot="1" x14ac:dyDescent="0.3">
      <c r="A13" s="54" t="s">
        <v>4845</v>
      </c>
      <c r="B13" s="103">
        <f>B12/B11</f>
        <v>0.296875</v>
      </c>
      <c r="C13" s="103">
        <f>C12/C11</f>
        <v>6.7307692307692304E-2</v>
      </c>
      <c r="D13" s="103">
        <f>D12/D11</f>
        <v>0.38738738738738737</v>
      </c>
      <c r="E13" s="103">
        <f>E12/E11</f>
        <v>0.19843342036553524</v>
      </c>
      <c r="F13" s="103">
        <f>F12/F11</f>
        <v>0.19843342036553524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2.03125</v>
      </c>
      <c r="C15" s="101">
        <f>SUMIF(Forbs!$O$12:$O$152,"&gt;=0")</f>
        <v>2.057692307692307</v>
      </c>
      <c r="D15" s="101">
        <f>SUMIF(Grasses!$O$12:$O$152,"&gt;=0")</f>
        <v>1.8648648648648647</v>
      </c>
      <c r="E15" s="101">
        <f>AVERAGE(B15:D15)</f>
        <v>1.9846023908523904</v>
      </c>
      <c r="F15" s="102">
        <f>SUM(B15:D15)</f>
        <v>5.9538071725571715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2023-01-27T17:29:29Z</dcterms:modified>
</cp:coreProperties>
</file>