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E8AD7562-2B7F-43BA-9B39-B0D2E7615643}" xr6:coauthVersionLast="45" xr6:coauthVersionMax="45" xr10:uidLastSave="{00000000-0000-0000-0000-000000000000}"/>
  <bookViews>
    <workbookView xWindow="-12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D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12" i="7" l="1"/>
  <c r="E12" i="7" s="1"/>
  <c r="D6" i="7"/>
  <c r="D9" i="7"/>
  <c r="E4" i="7"/>
  <c r="E9" i="7" s="1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4" i="7"/>
  <c r="F5" i="7"/>
  <c r="L153" i="6"/>
  <c r="F12" i="7" l="1"/>
  <c r="N12" i="6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<sst xmlns="http://schemas.openxmlformats.org/spreadsheetml/2006/main" count="13179" uniqueCount="5450">
  <si>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</si>
  <si>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</si>
  <si>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</si>
  <si>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</si>
  <si>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</si>
  <si>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</si>
  <si>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</si>
  <si>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</si>
  <si>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</si>
  <si>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</si>
  <si>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</si>
  <si>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</si>
  <si>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</si>
  <si>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</si>
  <si>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</si>
  <si>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</si>
  <si>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</si>
  <si>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</si>
  <si>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</si>
  <si>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</si>
  <si>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</si>
  <si>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</si>
  <si>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</si>
  <si>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</si>
  <si>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</si>
  <si>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</si>
  <si>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</si>
  <si>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</si>
  <si>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</si>
  <si>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</si>
  <si>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</si>
  <si>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</si>
  <si>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</si>
  <si>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</si>
  <si>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</si>
  <si>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</si>
  <si>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</si>
  <si>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</si>
  <si>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</si>
  <si>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</si>
  <si>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</si>
  <si>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</si>
  <si>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</si>
  <si>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</si>
  <si>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</si>
  <si>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</si>
  <si>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</si>
  <si>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</si>
  <si>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</si>
  <si>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</si>
  <si>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</si>
  <si>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</si>
  <si>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</si>
  <si>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</si>
  <si>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</si>
  <si>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</si>
  <si>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</si>
  <si>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</si>
  <si>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</si>
  <si>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</si>
  <si>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</si>
  <si>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</si>
  <si>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</si>
  <si>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</si>
  <si>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</si>
  <si>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</si>
  <si>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</si>
  <si>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</si>
  <si>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</si>
  <si>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</si>
  <si>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</si>
  <si>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</si>
  <si>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</si>
  <si>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</si>
  <si>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</si>
  <si>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</si>
  <si>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</si>
  <si>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</si>
  <si>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</si>
  <si>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</si>
  <si>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</si>
  <si>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</si>
  <si>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</si>
  <si>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</si>
  <si>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</si>
  <si>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</si>
  <si>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</si>
  <si>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</si>
  <si>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</si>
  <si>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</si>
  <si>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</si>
  <si>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</si>
  <si>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</si>
  <si>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</si>
  <si>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</si>
  <si>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</si>
  <si>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</si>
  <si>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</si>
  <si>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</si>
  <si>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</si>
  <si>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</si>
  <si>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</si>
  <si>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</si>
  <si>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</si>
  <si>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</si>
  <si>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</si>
  <si>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</si>
  <si>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</si>
  <si>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</si>
  <si>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</si>
  <si>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</si>
  <si>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</si>
  <si>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</si>
  <si>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</si>
  <si>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</si>
  <si>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</si>
  <si>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</si>
  <si>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</si>
  <si>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</si>
  <si>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</si>
  <si>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</si>
  <si>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</si>
  <si>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</si>
  <si>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</si>
  <si>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</si>
  <si>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</si>
  <si>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</si>
  <si>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</si>
  <si>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</si>
  <si>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</si>
  <si>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</si>
  <si>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</si>
  <si>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</si>
  <si>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</si>
  <si>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</si>
  <si>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</si>
  <si>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</si>
  <si>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</si>
  <si>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</si>
  <si>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</si>
  <si>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</si>
  <si>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</si>
  <si>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</si>
  <si>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</si>
  <si>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</si>
  <si>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</si>
  <si>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</si>
  <si>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</si>
  <si>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</si>
  <si>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</si>
  <si>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</si>
  <si>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</si>
  <si>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</si>
  <si>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</si>
  <si>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</si>
  <si>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</si>
  <si>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</si>
  <si>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</si>
  <si>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</si>
  <si>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</si>
  <si>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</si>
  <si>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</si>
  <si>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</si>
  <si>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</si>
  <si>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</si>
  <si>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</si>
  <si>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</si>
  <si>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</si>
  <si>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</si>
  <si>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</si>
  <si>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</si>
  <si>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</si>
  <si>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</si>
  <si>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</si>
  <si>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</si>
  <si>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</si>
  <si>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</si>
  <si>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</si>
  <si>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</si>
  <si>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</si>
  <si>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</si>
  <si>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</si>
  <si>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</si>
  <si>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</si>
  <si>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</si>
  <si>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</si>
  <si>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</si>
  <si>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</si>
  <si>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</si>
  <si>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</si>
  <si>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</si>
  <si>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</si>
  <si>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</si>
  <si>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</si>
  <si>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</si>
  <si>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</si>
  <si>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</si>
  <si>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</si>
  <si>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</si>
  <si>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</si>
  <si>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</si>
  <si>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</si>
  <si>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</si>
  <si>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</si>
  <si>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</si>
  <si>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</si>
  <si>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</si>
  <si>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</si>
  <si>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</si>
  <si>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</si>
  <si>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</si>
  <si>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</si>
  <si>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</si>
  <si>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</si>
  <si>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</si>
  <si>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</si>
  <si>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</si>
  <si>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</si>
  <si>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</si>
  <si>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</si>
  <si>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</si>
  <si>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</si>
  <si>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</si>
  <si>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</si>
  <si>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</si>
  <si>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</si>
  <si>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</si>
  <si>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</si>
  <si>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</si>
  <si>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</si>
  <si>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</si>
  <si>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</si>
  <si>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</si>
  <si>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</si>
  <si>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</si>
  <si>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</si>
  <si>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</si>
  <si>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</si>
  <si>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</si>
  <si>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</si>
  <si>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</si>
  <si>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</si>
  <si>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</si>
  <si>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</si>
  <si>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</si>
  <si>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</si>
  <si>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</si>
  <si>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</si>
  <si>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</si>
  <si>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</si>
  <si>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</si>
  <si>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</si>
  <si>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</si>
  <si>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</si>
  <si>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</si>
  <si>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</si>
  <si>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</si>
  <si>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</si>
  <si>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</si>
  <si>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</si>
  <si>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</si>
  <si>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</si>
  <si>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</si>
  <si>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</si>
  <si>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</si>
  <si>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</si>
  <si>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</si>
  <si>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</si>
  <si>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</si>
  <si>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</si>
  <si>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</si>
  <si>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</si>
  <si>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</si>
  <si>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</si>
  <si>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</si>
  <si>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</si>
  <si>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</si>
  <si>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</si>
  <si>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</si>
  <si>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</si>
  <si>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</si>
  <si>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</si>
  <si>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</si>
  <si>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</si>
  <si>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</si>
  <si>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</si>
  <si>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</si>
  <si>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</si>
  <si>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</si>
  <si>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</si>
  <si>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</si>
  <si>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</si>
  <si>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</si>
  <si>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</si>
  <si>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</si>
  <si>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</si>
  <si>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</si>
  <si>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</si>
  <si>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</si>
  <si>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</si>
  <si>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</si>
  <si>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</si>
  <si>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</si>
  <si>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</si>
  <si>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</si>
  <si>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</si>
  <si>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</si>
  <si>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</si>
  <si>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</si>
  <si>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</si>
  <si>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</si>
  <si>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</si>
  <si>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</si>
  <si>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</si>
  <si>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</si>
  <si>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</si>
  <si>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</si>
  <si>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</si>
  <si>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</si>
  <si>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</si>
  <si>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</si>
  <si>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</si>
  <si>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</si>
  <si>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</si>
  <si>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</si>
  <si>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</si>
  <si>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</si>
  <si>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</si>
  <si>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</si>
  <si>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</si>
  <si>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</si>
  <si>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</si>
  <si>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</si>
  <si>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</si>
  <si>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</si>
  <si>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</si>
  <si>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</si>
  <si>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</si>
  <si>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</si>
  <si>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</si>
  <si>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</si>
  <si>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</si>
  <si>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</si>
  <si>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</si>
  <si>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</si>
  <si>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</si>
  <si>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</si>
  <si>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</si>
  <si>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</si>
  <si>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</si>
  <si>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</si>
  <si>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</si>
  <si>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</si>
  <si>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</si>
  <si>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</si>
  <si>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</si>
  <si>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</si>
  <si>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</si>
  <si>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</si>
  <si>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</si>
  <si>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</si>
  <si>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</si>
  <si>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</si>
  <si>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</si>
  <si>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</si>
  <si>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</si>
  <si>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</si>
  <si>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</si>
  <si>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</si>
  <si>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</si>
  <si>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</si>
  <si>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</si>
  <si>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</si>
  <si>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</si>
  <si>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</si>
  <si>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</si>
  <si>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</si>
  <si>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</si>
  <si>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</si>
  <si>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</si>
  <si>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</si>
  <si>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</si>
  <si>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</si>
  <si>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</si>
  <si>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</si>
  <si>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</si>
  <si>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</si>
  <si>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</si>
  <si>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</si>
  <si>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</si>
  <si>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</si>
  <si>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</si>
  <si>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</si>
  <si>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</si>
  <si>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</si>
  <si>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</si>
  <si>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</si>
  <si>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</si>
  <si>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</si>
  <si>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</si>
  <si>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</si>
  <si>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</si>
  <si>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</si>
  <si>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</si>
  <si>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</si>
  <si>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</si>
  <si>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</si>
  <si>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</si>
  <si>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</si>
  <si>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</si>
  <si>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</si>
  <si>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</si>
  <si>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</si>
  <si>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</si>
  <si>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</si>
  <si>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</si>
  <si>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</si>
  <si>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</si>
  <si>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</si>
  <si>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</si>
  <si>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</si>
  <si>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</si>
  <si>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</si>
  <si>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</si>
  <si>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</si>
  <si>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</si>
  <si>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</si>
  <si>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</si>
  <si>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</si>
  <si>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</si>
  <si>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</si>
  <si>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</si>
  <si>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</si>
  <si>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</si>
  <si>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</si>
  <si>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</si>
  <si>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</si>
  <si>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</si>
  <si>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</si>
  <si>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</si>
  <si>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</si>
  <si>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</si>
  <si>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</si>
  <si>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</si>
  <si>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</si>
  <si>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</si>
  <si>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</si>
  <si>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</si>
  <si>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</si>
  <si>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</si>
  <si>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</si>
  <si>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</si>
  <si>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</si>
  <si>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</si>
  <si>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</si>
  <si>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</si>
  <si>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</si>
  <si>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</si>
  <si>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</si>
  <si>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</si>
  <si>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</si>
  <si>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</si>
  <si>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</si>
  <si>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</si>
  <si>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</si>
  <si>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</si>
  <si>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</si>
  <si>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</si>
  <si>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</si>
  <si>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</si>
  <si>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</si>
  <si>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</si>
  <si>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</si>
  <si>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</si>
  <si>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</si>
  <si>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</si>
  <si>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</si>
  <si>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</si>
  <si>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</si>
  <si>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</si>
  <si>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</si>
  <si>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</si>
  <si>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</si>
  <si>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</si>
  <si>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</si>
  <si>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</si>
  <si>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</si>
  <si>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</si>
  <si>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</si>
  <si>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</si>
  <si>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</si>
  <si>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</si>
  <si>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</si>
  <si>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</si>
  <si>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</si>
  <si>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</si>
  <si>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</si>
  <si>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</si>
  <si>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</si>
  <si>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</si>
  <si>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</si>
  <si>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</si>
  <si>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</si>
  <si>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</si>
  <si>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</si>
  <si>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</si>
  <si>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</si>
  <si>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</si>
  <si>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</si>
  <si>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</si>
  <si>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</si>
  <si>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</si>
  <si>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</si>
  <si>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</si>
  <si>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</si>
  <si>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</si>
  <si>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</si>
  <si>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</si>
  <si>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</si>
  <si>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</si>
  <si>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</si>
  <si>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</si>
  <si>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</si>
  <si>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</si>
  <si>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</si>
  <si>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</si>
  <si>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</si>
  <si>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</si>
  <si>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</si>
  <si>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</si>
  <si>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</si>
  <si>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</si>
  <si>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</si>
  <si>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</si>
  <si>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</si>
  <si>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</si>
  <si>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</si>
  <si>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</si>
  <si>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</si>
  <si>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</si>
  <si>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</si>
  <si>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</si>
  <si>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</si>
  <si>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</si>
  <si>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</si>
  <si>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</si>
  <si>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</si>
  <si>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</si>
  <si>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</si>
  <si>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</si>
  <si>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</si>
  <si>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</si>
  <si>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</si>
  <si>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</si>
  <si>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</si>
  <si>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</si>
  <si>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</si>
  <si>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</si>
  <si>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</si>
  <si>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</si>
  <si>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</si>
  <si>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</si>
  <si>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</si>
  <si>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</si>
  <si>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</si>
  <si>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</si>
  <si>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</si>
  <si>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</si>
  <si>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</si>
  <si>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</si>
  <si>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</si>
  <si>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</si>
  <si>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</si>
  <si>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</si>
  <si>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</si>
  <si>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</si>
  <si>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</si>
  <si>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</si>
  <si>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</si>
  <si>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</si>
  <si>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</si>
  <si>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</si>
  <si>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</si>
  <si>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</si>
  <si>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</si>
  <si>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</si>
  <si>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</si>
  <si>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</si>
  <si>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</si>
  <si>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</si>
  <si>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</si>
  <si>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</si>
  <si>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</si>
  <si>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</si>
  <si>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</si>
  <si>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</si>
  <si>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</si>
  <si>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</si>
  <si>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</si>
  <si>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</si>
  <si>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</si>
  <si>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</si>
  <si>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</si>
  <si>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</si>
  <si>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</si>
  <si>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</si>
  <si>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</si>
  <si>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</si>
  <si>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</si>
  <si>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</si>
  <si>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</si>
  <si>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</si>
  <si>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</si>
  <si>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</si>
  <si>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</si>
  <si>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</si>
  <si>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</si>
  <si>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</si>
  <si>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</si>
  <si>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</si>
  <si>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</si>
  <si>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</si>
  <si>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</si>
  <si>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</si>
  <si>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</si>
  <si>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</si>
  <si>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</si>
  <si>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</si>
  <si>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</si>
  <si>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</si>
  <si>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</si>
  <si>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</si>
  <si>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</si>
  <si>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</si>
  <si>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</si>
  <si>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</si>
  <si>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</si>
  <si>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</si>
  <si>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</si>
  <si>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</si>
  <si>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</si>
  <si>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</si>
  <si>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</si>
  <si>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</si>
  <si>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</si>
  <si>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</si>
  <si>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</si>
  <si>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</si>
  <si>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</si>
  <si>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</si>
  <si>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</si>
  <si>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</si>
  <si>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</si>
  <si>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</si>
  <si>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</si>
  <si>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</si>
  <si>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</si>
  <si>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</si>
  <si>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</si>
  <si>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</si>
  <si>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</si>
  <si>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</si>
  <si>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</si>
  <si>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</si>
  <si>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</si>
  <si>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</si>
  <si>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</si>
  <si>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</si>
  <si>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</si>
  <si>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</si>
  <si>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</si>
  <si>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</si>
  <si>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</si>
  <si>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</si>
  <si>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</si>
  <si>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</si>
  <si>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</si>
  <si>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</si>
  <si>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</si>
  <si>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</si>
  <si>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</si>
  <si>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</si>
  <si>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</si>
  <si>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</si>
  <si>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</si>
  <si>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</si>
  <si>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</si>
  <si>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</si>
  <si>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</si>
  <si>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</si>
  <si>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</si>
  <si>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</si>
  <si>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</si>
  <si>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</si>
  <si>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</si>
  <si>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</si>
  <si>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</si>
  <si>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</si>
  <si>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</si>
  <si>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</si>
  <si>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</si>
  <si>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</si>
  <si>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</si>
  <si>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</si>
  <si>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</si>
  <si>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</si>
  <si>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</si>
  <si>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</si>
  <si>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</si>
  <si>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</si>
  <si>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</si>
  <si>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</si>
  <si>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</si>
  <si>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</si>
  <si>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</si>
  <si>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</si>
  <si>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</si>
  <si>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</si>
  <si>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</si>
  <si>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</si>
  <si>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</si>
  <si>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</si>
  <si>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</si>
  <si>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</si>
  <si>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</si>
  <si>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</si>
  <si>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</si>
  <si>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</si>
  <si>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</si>
  <si>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</si>
  <si>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</si>
  <si>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</si>
  <si>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</si>
  <si>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</si>
  <si>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</si>
  <si>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</si>
  <si>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</si>
  <si>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</si>
  <si>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</si>
  <si>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</si>
  <si>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</si>
  <si>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</si>
  <si>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</si>
  <si>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</si>
  <si>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</si>
  <si>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</si>
  <si>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</si>
  <si>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</si>
  <si>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</si>
  <si>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</si>
  <si>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</si>
  <si>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</si>
  <si>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</si>
  <si>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</si>
  <si>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</si>
  <si>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</si>
  <si>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</si>
  <si>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</si>
  <si>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</si>
  <si>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</si>
  <si>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</si>
  <si>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</si>
  <si>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</si>
  <si>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</si>
  <si>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</si>
  <si>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</si>
  <si>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</si>
  <si>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</si>
  <si>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</si>
  <si>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</si>
  <si>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</si>
  <si>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</si>
  <si>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</si>
  <si>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</si>
  <si>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</si>
  <si>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</si>
  <si>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</si>
  <si>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</si>
  <si>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</si>
  <si>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</si>
  <si>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</si>
  <si>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</si>
  <si>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</si>
  <si>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</si>
  <si>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</si>
  <si>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</si>
  <si>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</si>
  <si>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</si>
  <si>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</si>
  <si>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</si>
  <si>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</si>
  <si>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</si>
  <si>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</si>
  <si>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</si>
  <si>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</si>
  <si>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</si>
  <si>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</si>
  <si>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</si>
  <si>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</si>
  <si>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</si>
  <si>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</si>
  <si>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</si>
  <si>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</si>
  <si>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</si>
  <si>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</si>
  <si>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</si>
  <si>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</si>
  <si>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</si>
  <si>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</si>
  <si>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</si>
  <si>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</si>
  <si>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</si>
  <si>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</si>
  <si>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</si>
  <si>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</si>
  <si>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</si>
  <si>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</si>
  <si>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</si>
  <si>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</si>
  <si>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</si>
  <si>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</si>
  <si>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</si>
  <si>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</si>
  <si>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</si>
  <si>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</si>
  <si>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</si>
  <si>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</si>
  <si>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</si>
  <si>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</si>
  <si>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</si>
  <si>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</si>
  <si>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</si>
  <si>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</si>
  <si>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</si>
  <si>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</si>
  <si>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</si>
  <si>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</si>
  <si>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</si>
  <si>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</si>
  <si>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</si>
  <si>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</si>
  <si>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</si>
  <si>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</si>
  <si>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</si>
  <si>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</si>
  <si>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</si>
  <si>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</si>
  <si>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</si>
  <si>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</si>
  <si>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</si>
  <si>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</si>
  <si>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</si>
  <si>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</si>
  <si>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</si>
  <si>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</si>
  <si>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</si>
  <si>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</si>
  <si>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</si>
  <si>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</si>
  <si>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</si>
  <si>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</si>
  <si>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</si>
  <si>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</si>
  <si>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</si>
  <si>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</si>
  <si>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</si>
  <si>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</si>
  <si>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</si>
  <si>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</si>
  <si>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</si>
  <si>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</si>
  <si>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</si>
  <si>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</si>
  <si>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</si>
  <si>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</si>
  <si>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</si>
  <si>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</si>
  <si>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</si>
  <si>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</si>
  <si>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</si>
  <si>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</si>
  <si>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</si>
  <si>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</si>
  <si>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</si>
  <si>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</si>
  <si>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</si>
  <si>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</si>
  <si>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</si>
  <si>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</si>
  <si>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</si>
  <si>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</si>
  <si>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</si>
  <si>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</si>
  <si>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</si>
  <si>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</si>
  <si>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</si>
  <si>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</si>
  <si>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</si>
  <si>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</si>
  <si>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</si>
  <si>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</si>
  <si>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</si>
  <si>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</si>
  <si>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</si>
  <si>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</si>
  <si>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</si>
  <si>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</si>
  <si>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</si>
  <si>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</si>
  <si>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</si>
  <si>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</si>
  <si>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</si>
  <si>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</si>
  <si>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</si>
  <si>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</si>
  <si>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</si>
  <si>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</si>
  <si>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</si>
  <si>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</si>
  <si>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</si>
  <si>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</si>
  <si>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</si>
  <si>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</si>
  <si>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</si>
  <si>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</si>
  <si>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</si>
  <si>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</si>
  <si>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</si>
  <si>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</si>
  <si>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</si>
  <si>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</si>
  <si>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</si>
  <si>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</si>
  <si>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</si>
  <si>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</si>
  <si>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</si>
  <si>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</si>
  <si>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</si>
  <si>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</si>
  <si>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</si>
  <si>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</si>
  <si>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</si>
  <si>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</si>
  <si>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</si>
  <si>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</si>
  <si>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</si>
  <si>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</si>
  <si>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</si>
  <si>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</si>
  <si>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</si>
  <si>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</si>
  <si>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</si>
  <si>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</si>
  <si>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</si>
  <si>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</si>
  <si>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</si>
  <si>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</si>
  <si>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</si>
  <si>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</si>
  <si>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</si>
  <si>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</si>
  <si>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</si>
  <si>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</si>
  <si>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</si>
  <si>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</si>
  <si>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</si>
  <si>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</si>
  <si>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</si>
  <si>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</si>
  <si>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</si>
  <si>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</si>
  <si>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</si>
  <si>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</si>
  <si>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</si>
  <si>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</si>
  <si>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</si>
  <si>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</si>
  <si>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</si>
  <si>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</si>
  <si>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</si>
  <si>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</si>
  <si>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</si>
  <si>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</si>
  <si>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</si>
  <si>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</si>
  <si>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</si>
  <si>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</si>
  <si>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</si>
  <si>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</si>
  <si>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</si>
  <si>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</si>
  <si>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</si>
  <si>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</si>
  <si>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</si>
  <si>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</si>
  <si>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</si>
  <si>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</si>
  <si>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</si>
  <si>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</si>
  <si>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</si>
  <si>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</si>
  <si>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</si>
  <si>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</si>
  <si>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</si>
  <si>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</si>
  <si>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</si>
  <si>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</si>
  <si>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</si>
  <si>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</si>
  <si>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</si>
  <si>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</si>
  <si>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</si>
  <si>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</si>
  <si>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</si>
  <si>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</si>
  <si>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</si>
  <si>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</si>
  <si>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</si>
  <si>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</si>
  <si>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</si>
  <si>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</si>
  <si>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</si>
  <si>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</si>
  <si>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</si>
  <si>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</si>
  <si>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</si>
  <si>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</si>
  <si>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</si>
  <si>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</si>
  <si>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</si>
  <si>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</si>
  <si>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</si>
  <si>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</si>
  <si>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</si>
  <si>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</si>
  <si>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</si>
  <si>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</si>
  <si>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</si>
  <si>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</si>
  <si>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</si>
  <si>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</si>
  <si>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</si>
  <si>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</si>
  <si>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</si>
  <si>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</si>
  <si>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</si>
  <si>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</si>
  <si>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</si>
  <si>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</si>
  <si>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</si>
  <si>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</si>
  <si>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</si>
  <si>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</si>
  <si>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</si>
  <si>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</si>
  <si>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</si>
  <si>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</si>
  <si>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</si>
  <si>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</si>
  <si>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</si>
  <si>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</si>
  <si>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</si>
  <si>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</si>
  <si>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</si>
  <si>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</si>
  <si>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</si>
  <si>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</si>
  <si>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</si>
  <si>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</si>
  <si>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</si>
  <si>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</si>
  <si>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</si>
  <si>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</si>
  <si>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</si>
  <si>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</si>
  <si>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</si>
  <si>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</si>
  <si>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</si>
  <si>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</si>
  <si>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</si>
  <si>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</si>
  <si>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</si>
  <si>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</si>
  <si>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</si>
  <si>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</si>
  <si>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</si>
  <si>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</si>
  <si>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</si>
  <si>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</si>
  <si>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</si>
  <si>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</si>
  <si>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</si>
  <si>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</si>
  <si>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</si>
  <si>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</si>
  <si>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</si>
  <si>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</si>
  <si>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</si>
  <si>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</si>
  <si>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</si>
  <si>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</si>
  <si>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</si>
  <si>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</si>
  <si>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</si>
  <si>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</si>
  <si>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</si>
  <si>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</si>
  <si>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</si>
  <si>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</si>
  <si>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</si>
  <si>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</si>
  <si>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</si>
  <si>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</si>
  <si>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</si>
  <si>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</si>
  <si>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</si>
  <si>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</si>
  <si>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</si>
  <si>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</si>
  <si>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</si>
  <si>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</si>
  <si>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</si>
  <si>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</si>
  <si>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</si>
  <si>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</si>
  <si>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</si>
  <si>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</si>
  <si>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</si>
  <si>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</si>
  <si>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</si>
  <si>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</si>
  <si>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</si>
  <si>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</si>
  <si>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</si>
  <si>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</si>
  <si>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</si>
  <si>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</si>
  <si>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</si>
  <si>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</si>
  <si>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</si>
  <si>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</si>
  <si>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</si>
  <si>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</si>
  <si>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</si>
  <si>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</si>
  <si>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</si>
  <si>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</si>
  <si>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</si>
  <si>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</si>
  <si>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</si>
  <si>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</si>
  <si>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</si>
  <si>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</si>
  <si>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</si>
  <si>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</si>
  <si>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</si>
  <si>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</si>
  <si>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</si>
  <si>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</si>
  <si>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</si>
  <si>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</si>
  <si>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</si>
  <si>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</si>
  <si>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</si>
  <si>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</si>
  <si>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</si>
  <si>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</si>
  <si>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</si>
  <si>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</si>
  <si>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</si>
  <si>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</si>
  <si>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</si>
  <si>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</si>
  <si>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</si>
  <si>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</si>
  <si>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</si>
  <si>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</si>
  <si>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</si>
  <si>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</si>
  <si>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</si>
  <si>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</si>
  <si>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</si>
  <si>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</si>
  <si>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</si>
  <si>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</si>
  <si>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</si>
  <si>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</si>
  <si>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</si>
  <si>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</si>
  <si>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</si>
  <si>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</si>
  <si>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</si>
  <si>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</si>
  <si>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</si>
  <si>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</si>
  <si>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</si>
  <si>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</si>
  <si>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</si>
  <si>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</si>
  <si>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</si>
  <si>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</si>
  <si>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</si>
  <si>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</si>
  <si>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</si>
  <si>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</si>
  <si>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</si>
  <si>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</si>
  <si>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</si>
  <si>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</si>
  <si>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</si>
  <si>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</si>
  <si>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</si>
  <si>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</si>
  <si>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</si>
  <si>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</si>
  <si>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</si>
  <si>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</si>
  <si>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</si>
  <si>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</si>
  <si>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</si>
  <si>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</si>
  <si>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</si>
  <si>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</si>
  <si>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</si>
  <si>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</si>
  <si>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</si>
  <si>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</si>
  <si>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</si>
  <si>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</si>
  <si>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</si>
  <si>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</si>
  <si>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</si>
  <si>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</si>
  <si>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</si>
  <si>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</si>
  <si>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</si>
  <si>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</si>
  <si>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</si>
  <si>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</si>
  <si>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</si>
  <si>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</si>
  <si>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</si>
  <si>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</si>
  <si>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</si>
  <si>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</si>
  <si>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</si>
  <si>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</si>
  <si>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</si>
  <si>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</si>
  <si>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</si>
  <si>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</si>
  <si>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</si>
  <si>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</si>
  <si>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</si>
  <si>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</si>
  <si>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</si>
  <si>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</si>
  <si>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</si>
  <si>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</si>
  <si>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</si>
  <si>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</si>
  <si>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</si>
  <si>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</si>
  <si>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</si>
  <si>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</si>
  <si>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</si>
  <si>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</si>
  <si>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</si>
  <si>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</si>
  <si>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</si>
  <si>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</si>
  <si>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</si>
  <si>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</si>
  <si>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</si>
  <si>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</si>
  <si>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</si>
  <si>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</si>
  <si>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</si>
  <si>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</si>
  <si>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</si>
  <si>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</si>
  <si>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</si>
  <si>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</si>
  <si>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</si>
  <si>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</si>
  <si>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</si>
  <si>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</si>
  <si>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</si>
  <si>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</si>
  <si>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</si>
  <si>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</si>
  <si>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</si>
  <si>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</si>
  <si>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</si>
  <si>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</si>
  <si>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</si>
  <si>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</si>
  <si>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</si>
  <si>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</si>
  <si>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</si>
  <si>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</si>
  <si>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</si>
  <si>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</si>
  <si>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</si>
  <si>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</si>
  <si>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</si>
  <si>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</si>
  <si>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</si>
  <si>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</si>
  <si>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</si>
  <si>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</si>
  <si>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</si>
  <si>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</si>
  <si>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</si>
  <si>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</si>
  <si>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</si>
  <si>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</si>
  <si>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</si>
  <si>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</si>
  <si>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</si>
  <si>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</si>
  <si>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</si>
  <si>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</si>
  <si>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</si>
  <si>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</si>
  <si>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</si>
  <si>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</si>
  <si>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</si>
  <si>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</si>
  <si>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</si>
  <si>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</si>
  <si>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</si>
  <si>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</si>
  <si>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</si>
  <si>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</si>
  <si>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</si>
  <si>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</si>
  <si>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</si>
  <si>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</si>
  <si>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</si>
  <si>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</si>
  <si>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</si>
  <si>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</si>
  <si>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</si>
  <si>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</si>
  <si>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</si>
  <si>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</si>
  <si>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</si>
  <si>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</si>
  <si>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</si>
  <si>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</si>
  <si>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</si>
  <si>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</si>
  <si>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</si>
  <si>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</si>
  <si>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</si>
  <si>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</si>
  <si>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</si>
  <si>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</si>
  <si>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</si>
  <si>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</si>
  <si>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</si>
  <si>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</si>
  <si>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</si>
  <si>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</si>
  <si>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</si>
  <si>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</si>
  <si>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</si>
  <si>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</si>
  <si>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</si>
  <si>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</si>
  <si>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</si>
  <si>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</si>
  <si>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</si>
  <si>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</si>
  <si>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</si>
  <si>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</si>
  <si>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</si>
  <si>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</si>
  <si>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</si>
  <si>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</si>
  <si>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</si>
  <si>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</si>
  <si>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</si>
  <si>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</si>
  <si>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</si>
  <si>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</si>
  <si>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</si>
  <si>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</si>
  <si>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</si>
  <si>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</si>
  <si>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</si>
  <si>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</si>
  <si>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</si>
  <si>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</si>
  <si>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</si>
  <si>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</si>
  <si>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</si>
  <si>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</si>
  <si>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</si>
  <si>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</si>
  <si>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</si>
  <si>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</si>
  <si>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</si>
  <si>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</si>
  <si>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</si>
  <si>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</si>
  <si>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</si>
  <si>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</si>
  <si>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</si>
  <si>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</si>
  <si>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</si>
  <si>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</si>
  <si>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</si>
  <si>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</si>
  <si>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</si>
  <si>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</si>
  <si>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</si>
  <si>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</si>
  <si>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</si>
  <si>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</si>
  <si>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</si>
  <si>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</si>
  <si>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</si>
  <si>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</si>
  <si>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</si>
  <si>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</si>
  <si>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</si>
  <si>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</si>
  <si>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</si>
  <si>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</si>
  <si>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</si>
  <si>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</si>
  <si>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</si>
  <si>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</si>
  <si>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</si>
  <si>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</si>
  <si>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</si>
  <si>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</si>
  <si>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</si>
  <si>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</si>
  <si>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</si>
  <si>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</si>
  <si>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</si>
  <si>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</si>
  <si>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</si>
  <si>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</si>
  <si>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</si>
  <si>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</si>
  <si>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</si>
  <si>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</si>
  <si>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</si>
  <si>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</si>
  <si>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</si>
  <si>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</si>
  <si>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</si>
  <si>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</si>
  <si>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</si>
  <si>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</si>
  <si>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</si>
  <si>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</si>
  <si>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</si>
  <si>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</si>
  <si>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</si>
  <si>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</si>
  <si>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</si>
  <si>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</si>
  <si>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</si>
  <si>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</si>
  <si>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</si>
  <si>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</si>
  <si>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</si>
  <si>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</si>
  <si>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</si>
  <si>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</si>
  <si>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</si>
  <si>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</si>
  <si>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</si>
  <si>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</si>
  <si>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</si>
  <si>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</si>
  <si>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</si>
  <si>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</si>
  <si>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</si>
  <si>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</si>
  <si>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</si>
  <si>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</si>
  <si>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</si>
  <si>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</si>
  <si>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</si>
  <si>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</si>
  <si>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</si>
  <si>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</si>
  <si>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</si>
  <si>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</si>
  <si>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</si>
  <si>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</si>
  <si>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</si>
  <si>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</si>
  <si>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</si>
  <si>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</si>
  <si>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</si>
  <si>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</si>
  <si>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</si>
  <si>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</si>
  <si>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</si>
  <si>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</si>
  <si>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</si>
  <si>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</si>
  <si>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</si>
  <si>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</si>
  <si>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</si>
  <si>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</si>
  <si>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</si>
  <si>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</si>
  <si>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</si>
  <si>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</si>
  <si>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</si>
  <si>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</si>
  <si>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</si>
  <si>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</si>
  <si>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</si>
  <si>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</si>
  <si>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</si>
  <si>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</si>
  <si>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</si>
  <si>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</si>
  <si>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</si>
  <si>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</si>
  <si>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</si>
  <si>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</si>
  <si>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</si>
  <si>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</si>
  <si>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</si>
  <si>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</si>
  <si>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</si>
  <si>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</si>
  <si>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</si>
  <si>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</si>
  <si>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</si>
  <si>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</si>
  <si>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</si>
  <si>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</si>
  <si>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</si>
  <si>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</si>
  <si>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</si>
  <si>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</si>
  <si>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</si>
  <si>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</si>
  <si>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</si>
  <si>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</si>
  <si>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</si>
  <si>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</si>
  <si>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</si>
  <si>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</si>
  <si>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</si>
  <si>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</si>
  <si>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</si>
  <si>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</si>
  <si>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</si>
  <si>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</si>
  <si>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</si>
  <si>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</si>
  <si>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</si>
  <si>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</si>
  <si>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</si>
  <si>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</si>
  <si>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</si>
  <si>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</si>
  <si>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</si>
  <si>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</si>
  <si>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</si>
  <si>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</si>
  <si>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</si>
  <si>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</si>
  <si>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</si>
  <si>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</si>
  <si>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</si>
  <si>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</si>
  <si>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</si>
  <si>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</si>
  <si>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</si>
  <si>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</si>
  <si>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</si>
  <si>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</si>
  <si>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</si>
  <si>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</si>
  <si>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</si>
  <si>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</si>
  <si>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</si>
  <si>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</si>
  <si>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</si>
  <si>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</si>
  <si>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</si>
  <si>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</si>
  <si>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</si>
  <si>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</si>
  <si>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</si>
  <si>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</si>
  <si>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</si>
  <si>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</si>
  <si>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</si>
  <si>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</si>
  <si>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</si>
  <si>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</si>
  <si>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</si>
  <si>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</si>
  <si>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</si>
  <si>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</si>
  <si>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</si>
  <si>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</si>
  <si>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</si>
  <si>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</si>
  <si>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</si>
  <si>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</si>
  <si>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</si>
  <si>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</si>
  <si>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</si>
  <si>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</si>
  <si>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</si>
  <si>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</si>
  <si>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</si>
  <si>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</si>
  <si>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</si>
  <si>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</si>
  <si>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</si>
  <si>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</si>
  <si>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</si>
  <si>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</si>
  <si>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</si>
  <si>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</si>
  <si>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</si>
  <si>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</si>
  <si>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</si>
  <si>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</si>
  <si>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</si>
  <si>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</si>
  <si>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</si>
  <si>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</si>
  <si>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</si>
  <si>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</si>
  <si>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</si>
  <si>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</si>
  <si>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</si>
  <si>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</si>
  <si>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</si>
  <si>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</si>
  <si>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</si>
  <si>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</si>
  <si>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</si>
  <si>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</si>
  <si>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</si>
  <si>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</si>
  <si>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</si>
  <si>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</si>
  <si>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</si>
  <si>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</si>
  <si>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</si>
  <si>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</si>
  <si>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</si>
  <si>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</si>
  <si>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</si>
  <si>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</si>
  <si>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</si>
  <si>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</si>
  <si>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</si>
  <si>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</si>
  <si>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</si>
  <si>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</si>
  <si>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</si>
  <si>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</si>
  <si>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</si>
  <si>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</si>
  <si>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</si>
  <si>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</si>
  <si>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</si>
  <si>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</si>
  <si>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</si>
  <si>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</si>
  <si>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</si>
  <si>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</si>
  <si>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</si>
  <si>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</si>
  <si>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</si>
  <si>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</si>
  <si>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</si>
  <si>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</si>
  <si>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</si>
  <si>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</si>
  <si>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</si>
  <si>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</si>
  <si>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</si>
  <si>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</si>
  <si>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</si>
  <si>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</si>
  <si>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</si>
  <si>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</si>
  <si>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</si>
  <si>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</si>
  <si>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</si>
  <si>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</si>
  <si>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</si>
  <si>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</si>
  <si>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</si>
  <si>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</si>
  <si>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</si>
  <si>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</si>
  <si>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</si>
  <si>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</si>
  <si>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</si>
  <si>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</si>
  <si>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</si>
  <si>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</si>
  <si>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</si>
  <si>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</si>
  <si>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</si>
  <si>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</si>
  <si>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</si>
  <si>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</si>
  <si>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</si>
  <si>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</si>
  <si>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</si>
  <si>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</si>
  <si>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</si>
  <si>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</si>
  <si>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</si>
  <si>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</si>
  <si>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</si>
  <si>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</si>
  <si>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</si>
  <si>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</si>
  <si>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</si>
  <si>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</si>
  <si>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</si>
  <si>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</si>
  <si>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</si>
  <si>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</si>
  <si>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</si>
  <si>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</si>
  <si>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</si>
  <si>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</si>
  <si>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</si>
  <si>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</si>
  <si>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</si>
  <si>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</si>
  <si>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</si>
  <si>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</si>
  <si>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</si>
  <si>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</si>
  <si>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</si>
  <si>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</si>
  <si>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</si>
  <si>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</si>
  <si>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</si>
  <si>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</si>
  <si>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</si>
  <si>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</si>
  <si>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</si>
  <si>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</si>
  <si>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</si>
  <si>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</si>
  <si>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</si>
  <si>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</si>
  <si>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</si>
  <si>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</si>
  <si>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</si>
  <si>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</si>
  <si>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</si>
  <si>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</si>
  <si>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</si>
  <si>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</si>
  <si>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</si>
  <si>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</si>
  <si>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</si>
  <si>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</si>
  <si>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</si>
  <si>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</si>
  <si>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</si>
  <si>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</si>
  <si>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</si>
  <si>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</si>
  <si>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</si>
  <si>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</si>
  <si>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</si>
  <si>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</si>
  <si>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</si>
  <si>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</si>
  <si>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</si>
  <si>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</si>
  <si>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</si>
  <si>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</si>
  <si>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</si>
  <si>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</si>
  <si>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</si>
  <si>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</si>
  <si>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</si>
  <si>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</si>
  <si>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</si>
  <si>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</si>
  <si>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</si>
  <si>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</si>
  <si>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</si>
  <si>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</si>
  <si>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</si>
  <si>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</si>
  <si>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</si>
  <si>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</si>
  <si>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</si>
  <si>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</si>
  <si>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</si>
  <si>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</si>
  <si>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</si>
  <si>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</si>
  <si>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</si>
  <si>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</si>
  <si>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</si>
  <si>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</si>
  <si>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</si>
  <si>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</si>
  <si>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</si>
  <si>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</si>
  <si>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</si>
  <si>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</si>
  <si>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</si>
  <si>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</si>
  <si>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</si>
  <si>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</si>
  <si>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</si>
  <si>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</si>
  <si>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</si>
  <si>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</si>
  <si>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</si>
  <si>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</si>
  <si>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</si>
  <si>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</si>
  <si>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</si>
  <si>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</si>
  <si>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</si>
  <si>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</si>
  <si>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</si>
  <si>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</si>
  <si>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</si>
  <si>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</si>
  <si>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</si>
  <si>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</si>
  <si>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</si>
  <si>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</si>
  <si>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</si>
  <si>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</si>
  <si>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</si>
  <si>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</si>
  <si>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</si>
  <si>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</si>
  <si>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</si>
  <si>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</si>
  <si>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</si>
  <si>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</si>
  <si>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</si>
  <si>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</si>
  <si>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</si>
  <si>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</si>
  <si>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</si>
  <si>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</si>
  <si>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</si>
  <si>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</si>
  <si>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</si>
  <si>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</si>
  <si>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</si>
  <si>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</si>
  <si>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</si>
  <si>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</si>
  <si>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</si>
  <si>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</si>
  <si>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</si>
  <si>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</si>
  <si>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</si>
  <si>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</si>
  <si>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</si>
  <si>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</si>
  <si>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</si>
  <si>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</si>
  <si>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</si>
  <si>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</si>
  <si>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</si>
  <si>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</si>
  <si>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</si>
  <si>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</si>
  <si>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</si>
  <si>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</si>
  <si>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</si>
  <si>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</si>
  <si>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</si>
  <si>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</si>
  <si>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</si>
  <si>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</si>
  <si>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</si>
  <si>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</si>
  <si>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</si>
  <si>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</si>
  <si>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</si>
  <si>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</si>
  <si>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</si>
  <si>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</si>
  <si>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</si>
  <si>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</si>
  <si>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</si>
  <si>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</si>
  <si>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</si>
  <si>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</si>
  <si>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</si>
  <si>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</si>
  <si>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</si>
  <si>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</si>
  <si>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</si>
  <si>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</si>
  <si>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</si>
  <si>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</si>
  <si>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</si>
  <si>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</si>
  <si>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</si>
  <si>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</si>
  <si>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</si>
  <si>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</si>
  <si>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</si>
  <si>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</si>
  <si>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</si>
  <si>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</si>
  <si>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</si>
  <si>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</si>
  <si>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</si>
  <si>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</si>
  <si>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</si>
  <si>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</si>
  <si>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</si>
  <si>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</si>
  <si>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</si>
  <si>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</si>
  <si>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</si>
  <si>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</si>
  <si>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</si>
  <si>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</si>
  <si>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</si>
  <si>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</si>
  <si>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</si>
  <si>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</si>
  <si>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</si>
  <si>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</si>
  <si>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</si>
  <si>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</si>
  <si>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</si>
  <si>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</si>
  <si>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</si>
  <si>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</si>
  <si>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</si>
  <si>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</si>
  <si>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</si>
  <si>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</si>
  <si>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</si>
  <si>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</si>
  <si>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</si>
  <si>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</si>
  <si>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</si>
  <si>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</si>
  <si>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</si>
  <si>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</si>
  <si>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</si>
  <si>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</si>
  <si>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</si>
  <si>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</si>
  <si>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</si>
  <si>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</si>
  <si>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</si>
  <si>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</si>
  <si>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</si>
  <si>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</si>
  <si>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</si>
  <si>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</si>
  <si>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</si>
  <si>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</si>
  <si>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</si>
  <si>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</si>
  <si>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</si>
  <si>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</si>
  <si>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</si>
  <si>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</si>
  <si>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</si>
  <si>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</si>
  <si>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</si>
  <si>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</si>
  <si>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</si>
  <si>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</si>
  <si>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</si>
  <si>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</si>
  <si>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</si>
  <si>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</si>
  <si>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</si>
  <si>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</si>
  <si>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</si>
  <si>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</si>
  <si>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</si>
  <si>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</si>
  <si>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</si>
  <si>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</si>
  <si>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</si>
  <si>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</si>
  <si>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</si>
  <si>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</si>
  <si>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</si>
  <si>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</si>
  <si>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</si>
  <si>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</si>
  <si>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</si>
  <si>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</si>
  <si>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</si>
  <si>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</si>
  <si>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</si>
  <si>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</si>
  <si>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</si>
  <si>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</si>
  <si>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</si>
  <si>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</si>
  <si>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</si>
  <si>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</si>
  <si>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</si>
  <si>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</si>
  <si>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</si>
  <si>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</si>
  <si>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</si>
  <si>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</si>
  <si>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</si>
  <si>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</si>
  <si>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</si>
  <si>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</si>
  <si>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</si>
  <si>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</si>
  <si>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</si>
  <si>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</si>
  <si>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</si>
  <si>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</si>
  <si>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</si>
  <si>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</si>
  <si>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</si>
  <si>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</si>
  <si>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</si>
  <si>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</si>
  <si>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</si>
  <si>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</si>
  <si>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</si>
  <si>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</si>
  <si>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</si>
  <si>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</si>
  <si>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</si>
  <si>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</si>
  <si>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</si>
  <si>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</si>
  <si>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</si>
  <si>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</si>
  <si>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</si>
  <si>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</si>
  <si>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</si>
  <si>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</si>
  <si>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</si>
  <si>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</si>
  <si>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</si>
  <si>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</si>
  <si>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</si>
  <si>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</si>
  <si>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</si>
  <si>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</si>
  <si>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</si>
  <si>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</si>
  <si>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</si>
  <si>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</si>
  <si>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</si>
  <si>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</si>
  <si>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</si>
  <si>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</si>
  <si>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</si>
  <si>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</si>
  <si>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</si>
  <si>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</si>
  <si>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</si>
  <si>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</si>
  <si>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</si>
  <si>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</si>
  <si>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</si>
  <si>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</si>
  <si>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</si>
  <si>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</si>
  <si>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</si>
  <si>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</si>
  <si>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</si>
  <si>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</si>
  <si>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</si>
  <si>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</si>
  <si>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</si>
  <si>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</si>
  <si>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</si>
  <si>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</si>
  <si>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</si>
  <si>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</si>
  <si>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</si>
  <si>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</si>
  <si>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</si>
  <si>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</si>
  <si>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</si>
  <si>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</si>
  <si>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</si>
  <si>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</si>
  <si>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</si>
  <si>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</si>
  <si>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</si>
  <si>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</si>
  <si>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</si>
  <si>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</si>
  <si>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</si>
  <si>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</si>
  <si>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</si>
  <si>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</si>
  <si>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</si>
  <si>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</si>
  <si>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</si>
  <si>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</si>
  <si>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</si>
  <si>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</si>
  <si>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</si>
  <si>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</si>
  <si>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</si>
  <si>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</si>
  <si>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</si>
  <si>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</si>
  <si>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</si>
  <si>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</si>
  <si>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</si>
  <si>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</si>
  <si>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</si>
  <si>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</si>
  <si>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</si>
  <si>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</si>
  <si>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</si>
  <si>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</si>
  <si>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</si>
  <si>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</si>
  <si>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</si>
  <si>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</si>
  <si>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</si>
  <si>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</si>
  <si>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</si>
  <si>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</si>
  <si>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</si>
  <si>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</si>
  <si>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</si>
  <si>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</si>
  <si>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</si>
  <si>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</si>
  <si>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</si>
  <si>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</si>
  <si>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</si>
  <si>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</si>
  <si>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</si>
  <si>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</si>
  <si>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</si>
  <si>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</si>
  <si>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</si>
  <si>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</si>
  <si>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</si>
  <si>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</si>
  <si>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</si>
  <si>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</si>
  <si>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</si>
  <si>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</si>
  <si>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</si>
  <si>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</si>
  <si>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</si>
  <si>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</si>
  <si>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</si>
  <si>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</si>
  <si>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</si>
  <si>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</si>
  <si>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</si>
  <si>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</si>
  <si>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</si>
  <si>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</si>
  <si>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</si>
  <si>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</si>
  <si>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</si>
  <si>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</si>
  <si>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</si>
  <si>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</si>
  <si>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</si>
  <si>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</si>
  <si>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</si>
  <si>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</si>
  <si>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</si>
  <si>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</si>
  <si>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</si>
  <si>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</si>
  <si>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</si>
  <si>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</si>
  <si>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</si>
  <si>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</si>
  <si>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</si>
  <si>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</si>
  <si>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</si>
  <si>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</si>
  <si>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</si>
  <si>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</si>
  <si>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</si>
  <si>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</si>
  <si>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</si>
  <si>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</si>
  <si>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</si>
  <si>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</si>
  <si>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</si>
  <si>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</si>
  <si>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</si>
  <si>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</si>
  <si>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</si>
  <si>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</si>
  <si>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</si>
  <si>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</si>
  <si>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</si>
  <si>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</si>
  <si>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</si>
  <si>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</si>
  <si>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</si>
  <si>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</si>
  <si>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</si>
  <si>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</si>
  <si>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</si>
  <si>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</si>
  <si>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</si>
  <si>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</si>
  <si>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</si>
  <si>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</si>
  <si>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</si>
  <si>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</si>
  <si>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</si>
  <si>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</si>
  <si>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</si>
  <si>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</si>
  <si>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</si>
  <si>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</si>
  <si>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</si>
  <si>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</si>
  <si>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</si>
  <si>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</si>
  <si>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</si>
  <si>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</si>
  <si>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</si>
  <si>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</si>
  <si>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</si>
  <si>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</si>
  <si>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</si>
  <si>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</si>
  <si>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</si>
  <si>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</si>
  <si>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</si>
  <si>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</si>
  <si>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</si>
  <si>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</si>
  <si>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</si>
  <si>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</si>
  <si>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</si>
  <si>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</si>
  <si>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</si>
  <si>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</si>
  <si>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</si>
  <si>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</si>
  <si>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</si>
  <si>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</si>
  <si>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</si>
  <si>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</si>
  <si>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</si>
  <si>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</si>
  <si>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</si>
  <si>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</si>
  <si>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</si>
  <si>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</si>
  <si>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</si>
  <si>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</si>
  <si>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</si>
  <si>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</si>
  <si>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</si>
  <si>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</si>
  <si>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</si>
  <si>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</si>
  <si>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</si>
  <si>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</si>
  <si>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</si>
  <si>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</si>
  <si>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</si>
  <si>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</si>
  <si>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</si>
  <si>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</si>
  <si>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</si>
  <si>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</si>
  <si>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</si>
  <si>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</si>
  <si>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</si>
  <si>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</si>
  <si>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</si>
  <si>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</si>
  <si>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</si>
  <si>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</si>
  <si>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</si>
  <si>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</si>
  <si>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</si>
  <si>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</si>
  <si>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</si>
  <si>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</si>
  <si>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</si>
  <si>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</si>
  <si>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</si>
  <si>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</si>
  <si>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</si>
  <si>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</si>
  <si>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</si>
  <si>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</si>
  <si>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</si>
  <si>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</si>
  <si>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</si>
  <si>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</si>
  <si>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</si>
  <si>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</si>
  <si>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</si>
  <si>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</si>
  <si>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</si>
  <si>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</si>
  <si>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</si>
  <si>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</si>
  <si>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</si>
  <si>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</si>
  <si>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</si>
  <si>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</si>
  <si>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</si>
  <si>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</si>
  <si>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</si>
  <si>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</si>
  <si>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</si>
  <si>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</si>
  <si>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</si>
  <si>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</si>
  <si>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</si>
  <si>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</si>
  <si>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</si>
  <si>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</si>
  <si>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</si>
  <si>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</si>
  <si>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</si>
  <si>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</si>
  <si>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</si>
  <si>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</si>
  <si>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</si>
  <si>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</si>
  <si>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</si>
  <si>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</si>
  <si>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</si>
  <si>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</si>
  <si>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</si>
  <si>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</si>
  <si>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</si>
  <si>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</si>
  <si>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</si>
  <si>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</si>
  <si>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</si>
  <si>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</si>
  <si>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</si>
  <si>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</si>
  <si>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</si>
  <si>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</si>
  <si>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</si>
  <si>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</si>
  <si>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</si>
  <si>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</si>
  <si>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</si>
  <si>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</si>
  <si>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</si>
  <si>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</si>
  <si>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</si>
  <si>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</si>
  <si>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</si>
  <si>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</si>
  <si>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</si>
  <si>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</si>
  <si>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</si>
  <si>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</si>
  <si>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</si>
  <si>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</si>
  <si>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</si>
  <si>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</si>
  <si>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</si>
  <si>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</si>
  <si>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</si>
  <si>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</si>
  <si>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</si>
  <si>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</si>
  <si>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</si>
  <si>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</si>
  <si>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</si>
  <si>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</si>
  <si>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</si>
  <si>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</si>
  <si>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</si>
  <si>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</si>
  <si>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</si>
  <si>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</si>
  <si>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</si>
  <si>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</si>
  <si>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</si>
  <si>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</si>
  <si>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</si>
  <si>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</si>
  <si>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</si>
  <si>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</si>
  <si>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</si>
  <si>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</si>
  <si>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</si>
  <si>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</si>
  <si>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</si>
  <si>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</si>
  <si>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</si>
  <si>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</si>
  <si>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</si>
  <si>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</si>
  <si>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</si>
  <si>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</si>
  <si>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</si>
  <si>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</si>
  <si>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</si>
  <si>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</si>
  <si>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</si>
  <si>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</si>
  <si>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</si>
  <si>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</si>
  <si>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</si>
  <si>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</si>
  <si>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</si>
  <si>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</si>
  <si>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</si>
  <si>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</si>
  <si>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</si>
  <si>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</si>
  <si>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</si>
  <si>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</si>
  <si>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</si>
  <si>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</si>
  <si>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</si>
  <si>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</si>
  <si>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</si>
  <si>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</si>
  <si>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</si>
  <si>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</si>
  <si>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</si>
  <si>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</si>
  <si>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</si>
  <si>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</si>
  <si>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</si>
  <si>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</si>
  <si>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</si>
  <si>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</si>
  <si>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</si>
  <si>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</si>
  <si>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</si>
  <si>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</si>
  <si>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</si>
  <si>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</si>
  <si>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</si>
  <si>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</si>
  <si>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</si>
  <si>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</si>
  <si>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</si>
  <si>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</si>
  <si>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</si>
  <si>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</si>
  <si>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</si>
  <si>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</si>
  <si>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</si>
  <si>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</si>
  <si>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</si>
  <si>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</si>
  <si>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</si>
  <si>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</si>
  <si>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</si>
  <si>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</si>
  <si>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</si>
  <si>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</si>
  <si>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</si>
  <si>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</si>
  <si>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</si>
  <si>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</si>
  <si>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</si>
  <si>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</si>
  <si>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</si>
  <si>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</si>
  <si>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</si>
  <si>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</si>
  <si>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</si>
  <si>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</si>
  <si>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</si>
  <si>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</si>
  <si>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</si>
  <si>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</si>
  <si>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</si>
  <si>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</si>
  <si>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</si>
  <si>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</si>
  <si>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</si>
  <si>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</si>
  <si>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</si>
  <si>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</si>
  <si>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</si>
  <si>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</si>
  <si>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</si>
  <si>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</si>
  <si>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</si>
  <si>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</si>
  <si>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</si>
  <si>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</si>
  <si>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</si>
  <si>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</si>
  <si>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</si>
  <si>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</si>
  <si>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</si>
  <si>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</si>
  <si>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</si>
  <si>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</si>
  <si>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</si>
  <si>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</si>
  <si>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</si>
  <si>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</si>
  <si>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</si>
  <si>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</si>
  <si>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</si>
  <si>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</si>
  <si>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</si>
  <si>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</si>
  <si>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</si>
  <si>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</si>
  <si>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</si>
  <si>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</si>
  <si>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</si>
  <si>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</si>
  <si>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</si>
  <si>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</si>
  <si>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</si>
  <si>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</si>
  <si>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</si>
  <si>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</si>
  <si>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</si>
  <si>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</si>
  <si>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</si>
  <si>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</si>
  <si>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</si>
  <si>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</si>
  <si>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</si>
  <si>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</si>
  <si>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</si>
  <si>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</si>
  <si>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</si>
  <si>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</si>
  <si>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</si>
  <si>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</si>
  <si>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</si>
  <si>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</si>
  <si>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</si>
  <si>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</si>
  <si>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</si>
  <si>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</si>
  <si>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</si>
  <si>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</si>
  <si>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</si>
  <si>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</si>
  <si>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</si>
  <si>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</si>
  <si>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</si>
  <si>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</si>
  <si>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</si>
  <si>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</si>
  <si>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</si>
  <si>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</si>
  <si>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</si>
  <si>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</si>
  <si>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</si>
  <si>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</si>
  <si>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</si>
  <si>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</si>
  <si>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</si>
  <si>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</si>
  <si>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</si>
  <si>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</si>
  <si>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</si>
  <si>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</si>
  <si>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</si>
  <si>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</si>
  <si>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</si>
  <si>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</si>
  <si>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</si>
  <si>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</si>
  <si>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</si>
  <si>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</si>
  <si>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</si>
  <si>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</si>
  <si>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</si>
  <si>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</si>
  <si>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</si>
  <si>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</si>
  <si>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</si>
  <si>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</si>
  <si>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</si>
  <si>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</si>
  <si>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</si>
  <si>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</si>
  <si>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</si>
  <si>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</si>
  <si>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</si>
  <si>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</si>
  <si>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</si>
  <si>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</si>
  <si>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</si>
  <si>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</si>
  <si>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</si>
  <si>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</si>
  <si>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</si>
  <si>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</si>
  <si>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</si>
  <si>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</si>
  <si>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</si>
  <si>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</si>
  <si>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</si>
  <si>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</si>
  <si>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</si>
  <si>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</si>
  <si>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</si>
  <si>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</si>
  <si>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</si>
  <si>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</si>
  <si>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</si>
  <si>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</si>
  <si>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</si>
  <si>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</si>
  <si>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</si>
  <si>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</si>
  <si>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</si>
  <si>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</si>
  <si>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</si>
  <si>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</si>
  <si>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</si>
  <si>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</si>
  <si>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</si>
  <si>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</si>
  <si>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</si>
  <si>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</si>
  <si>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</si>
  <si>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</si>
  <si>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</si>
  <si>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</si>
  <si>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</si>
  <si>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</si>
  <si>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</si>
  <si>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</si>
  <si>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</si>
  <si>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</si>
  <si>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</si>
  <si>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</si>
  <si>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</si>
  <si>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</si>
  <si>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</si>
  <si>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</si>
  <si>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</si>
  <si>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</si>
  <si>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</si>
  <si>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</si>
  <si>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</si>
  <si>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</si>
  <si>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</si>
  <si>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</si>
  <si>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</si>
  <si>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</si>
  <si>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</si>
  <si>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</si>
  <si>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</si>
  <si>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</si>
  <si>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</si>
  <si>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</si>
  <si>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</si>
  <si>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</si>
  <si>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</si>
  <si>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</si>
  <si>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</si>
  <si>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</si>
  <si>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</si>
  <si>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</si>
  <si>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</si>
  <si>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</si>
  <si>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</si>
  <si>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</si>
  <si>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</si>
  <si>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</si>
  <si>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</si>
  <si>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</si>
  <si>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</si>
  <si>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</si>
  <si>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</si>
  <si>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</si>
  <si>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</si>
  <si>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</si>
  <si>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</si>
  <si>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</si>
  <si>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</si>
  <si>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</si>
  <si>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</si>
  <si>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</si>
  <si>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</si>
  <si>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</si>
  <si>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</si>
  <si>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</si>
  <si>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</si>
  <si>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</si>
  <si>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</si>
  <si>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</si>
  <si>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</si>
  <si>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</si>
  <si>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</si>
  <si>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</si>
  <si>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</si>
  <si>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</si>
  <si>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</si>
  <si>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</si>
  <si>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</si>
  <si>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</si>
  <si>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</si>
  <si>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</si>
  <si>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</si>
  <si>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</si>
  <si>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</si>
  <si>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</si>
  <si>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</si>
  <si>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</si>
  <si>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</si>
  <si>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</si>
  <si>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</si>
  <si>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</si>
  <si>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</si>
  <si>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</si>
  <si>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</si>
  <si>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</si>
  <si>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</si>
  <si>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</si>
  <si>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</si>
  <si>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</si>
  <si>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</si>
  <si>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</si>
  <si>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</si>
  <si>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</si>
  <si>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</si>
  <si>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</si>
  <si>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</si>
  <si>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</si>
  <si>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</si>
  <si>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</si>
  <si>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</si>
  <si>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</si>
  <si>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</si>
  <si>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</si>
  <si>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</si>
  <si>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</si>
  <si>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</si>
  <si>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</si>
  <si>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</si>
  <si>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</si>
  <si>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</si>
  <si>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</si>
  <si>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</si>
  <si>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</si>
  <si>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</si>
  <si>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</si>
  <si>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</si>
  <si>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</si>
  <si>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</si>
  <si>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</si>
  <si>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</si>
  <si>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</si>
  <si>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</si>
  <si>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</si>
  <si>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</si>
  <si>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</si>
  <si>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</si>
  <si>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</si>
  <si>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</si>
  <si>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</si>
  <si>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</si>
  <si>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</si>
  <si>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</si>
  <si>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</si>
  <si>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</si>
  <si>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</si>
  <si>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</si>
  <si>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</si>
  <si>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</si>
  <si>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</si>
  <si>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</si>
  <si>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</si>
  <si>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</si>
  <si>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</si>
  <si>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</si>
  <si>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</si>
  <si>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</si>
  <si>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</si>
  <si>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</si>
  <si>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</si>
  <si>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</si>
  <si>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</si>
  <si>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</si>
  <si>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</si>
  <si>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</si>
  <si>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</si>
  <si>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</si>
  <si>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</si>
  <si>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</si>
  <si>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</si>
  <si>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</si>
  <si>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</si>
  <si>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</si>
  <si>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</si>
  <si>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</si>
  <si>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</si>
  <si>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</si>
  <si>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</si>
  <si>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</si>
  <si>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</si>
  <si>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</si>
  <si>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</si>
  <si>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</si>
  <si>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</si>
  <si>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</si>
  <si>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</si>
  <si>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</si>
  <si>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</si>
  <si>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</si>
  <si>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</si>
  <si>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</si>
  <si>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</si>
  <si>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</si>
  <si>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</si>
  <si>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</si>
  <si>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</si>
  <si>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</si>
  <si>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</si>
  <si>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</si>
  <si>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</si>
  <si>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</si>
  <si>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</si>
  <si>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</si>
  <si>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</si>
  <si>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</si>
  <si>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</si>
  <si>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</si>
  <si>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</si>
  <si>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</si>
  <si>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</si>
  <si>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</si>
  <si>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</si>
  <si>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</si>
  <si>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</si>
  <si>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</si>
  <si>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</si>
  <si>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</si>
  <si>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</si>
  <si>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</si>
  <si>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</si>
  <si>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</si>
  <si>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</si>
  <si>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</si>
  <si>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</si>
  <si>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</si>
  <si>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</si>
  <si>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</si>
  <si>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</si>
  <si>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</si>
  <si>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</si>
  <si>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</si>
  <si>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</si>
  <si>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</si>
  <si>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</si>
  <si>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</si>
  <si>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</si>
  <si>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</si>
  <si>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</si>
  <si>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</si>
  <si>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</si>
  <si>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</si>
  <si>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</si>
  <si>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</si>
  <si>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</si>
  <si>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</si>
  <si>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</si>
  <si>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</si>
  <si>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</si>
  <si>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</si>
  <si>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</si>
  <si>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</si>
  <si>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</si>
  <si>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</si>
  <si>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</si>
  <si>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</si>
  <si>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</si>
  <si>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</si>
  <si>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</si>
  <si>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</si>
  <si>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</si>
  <si>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</si>
  <si>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</si>
  <si>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</si>
  <si>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</si>
  <si>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</si>
  <si>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</si>
  <si>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</si>
  <si>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</si>
  <si>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</si>
  <si>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</si>
  <si>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</si>
  <si>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</si>
  <si>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</si>
  <si>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</si>
  <si>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</si>
  <si>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</si>
  <si>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</si>
  <si>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</si>
  <si>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</si>
  <si>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</si>
  <si>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</si>
  <si>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</si>
  <si>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</si>
  <si>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</si>
  <si>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</si>
  <si>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</si>
  <si>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</si>
  <si>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</si>
  <si>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</si>
  <si>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</si>
  <si>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</si>
  <si>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</si>
  <si>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</si>
  <si>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</si>
  <si>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</si>
  <si>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</si>
  <si>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</si>
  <si>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</si>
  <si>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</si>
  <si>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</si>
  <si>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</si>
  <si>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</si>
  <si>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</si>
  <si>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</si>
  <si>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</si>
  <si>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</si>
  <si>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</si>
  <si>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</si>
  <si>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</si>
  <si>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</si>
  <si>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</si>
  <si>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</si>
  <si>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</si>
  <si>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</si>
  <si>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</si>
  <si>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</si>
  <si>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</si>
  <si>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</si>
  <si>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</si>
  <si>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</si>
  <si>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</si>
  <si>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</si>
  <si>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</si>
  <si>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</si>
  <si>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</si>
  <si>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</si>
  <si>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</si>
  <si>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</si>
  <si>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</si>
  <si>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</si>
  <si>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</si>
  <si>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</si>
  <si>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</si>
  <si>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</si>
  <si>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</si>
  <si>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</si>
  <si>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</si>
  <si>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</si>
  <si>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</si>
  <si>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</si>
  <si>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</si>
  <si>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</si>
  <si>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</si>
  <si>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</si>
  <si>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</si>
  <si>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</si>
  <si>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</si>
  <si>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</si>
  <si>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</si>
  <si>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</si>
  <si>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</si>
  <si>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</si>
  <si>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</si>
  <si>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</si>
  <si>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</si>
  <si>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</si>
  <si>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</si>
  <si>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</si>
  <si>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</si>
  <si>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</si>
  <si>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</si>
  <si>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</si>
  <si>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</si>
  <si>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</si>
  <si>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</si>
  <si>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</si>
  <si>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</si>
  <si>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</si>
  <si>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</si>
  <si>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</si>
  <si>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</si>
  <si>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</si>
  <si>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</si>
  <si>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</si>
  <si>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</si>
  <si>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</si>
  <si>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</si>
  <si>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</si>
  <si>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</si>
  <si>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</si>
  <si>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</si>
  <si>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</si>
  <si>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</si>
  <si>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</si>
  <si>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</si>
  <si>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</si>
  <si>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</si>
  <si>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</si>
  <si>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</si>
  <si>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</si>
  <si>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</si>
  <si>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</si>
  <si>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</si>
  <si>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</si>
  <si>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</si>
  <si>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</si>
  <si>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</si>
  <si>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</si>
  <si>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</si>
  <si>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</si>
  <si>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</si>
  <si>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</si>
  <si>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</si>
  <si>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</si>
  <si>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</si>
  <si>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</si>
  <si>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</si>
  <si>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</si>
  <si>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</si>
  <si>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</si>
  <si>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</si>
  <si>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</si>
  <si>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</si>
  <si>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</si>
  <si>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</si>
  <si>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</si>
  <si>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</si>
  <si>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</si>
  <si>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</si>
  <si>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</si>
  <si>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</si>
  <si>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</si>
  <si>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</si>
  <si>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</si>
  <si>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</si>
  <si>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</si>
  <si>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</si>
  <si>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</si>
  <si>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</si>
  <si>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</si>
  <si>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</si>
  <si>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</si>
  <si>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</si>
  <si>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</si>
  <si>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</si>
  <si>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</si>
  <si>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</si>
  <si>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</si>
  <si>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</si>
  <si>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</si>
  <si>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</si>
  <si>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</si>
  <si>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</si>
  <si>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</si>
  <si>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</si>
  <si>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</si>
  <si>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</si>
  <si>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</si>
  <si>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</si>
  <si>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</si>
  <si>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</si>
  <si>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</si>
  <si>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</si>
  <si>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</si>
  <si>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</si>
  <si>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</si>
  <si>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</si>
  <si>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</si>
  <si>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</si>
  <si>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</si>
  <si>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</si>
  <si>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</si>
  <si>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</si>
  <si>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</si>
  <si>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</si>
  <si>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</si>
  <si>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</si>
  <si>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</si>
  <si>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</si>
  <si>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</si>
  <si>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</si>
  <si>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</si>
  <si>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</si>
  <si>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</si>
  <si>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</si>
  <si>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</si>
  <si>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</si>
  <si>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</si>
  <si>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</si>
  <si>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</si>
  <si>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</si>
  <si>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</si>
  <si>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</si>
  <si>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</si>
  <si>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</si>
  <si>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</si>
  <si>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</si>
  <si>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</si>
  <si>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</si>
  <si>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</si>
  <si>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</si>
  <si>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</si>
  <si>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</si>
  <si>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</si>
  <si>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</si>
  <si>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</si>
  <si>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</si>
  <si>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</si>
  <si>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</si>
  <si>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</si>
  <si>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</si>
  <si>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</si>
  <si>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</si>
  <si>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</si>
  <si>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</si>
  <si>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</si>
  <si>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</si>
  <si>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</si>
  <si>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</si>
  <si>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</si>
  <si>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</si>
  <si>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</si>
  <si>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</si>
  <si>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</si>
  <si>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</si>
  <si>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</si>
  <si>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</si>
  <si>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</si>
  <si>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</si>
  <si>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</si>
  <si>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</si>
  <si>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</si>
  <si>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</si>
  <si>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</si>
  <si>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</si>
  <si>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</si>
  <si>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</si>
  <si>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</si>
  <si>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</si>
  <si>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</si>
  <si>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</si>
  <si>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</si>
  <si>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</si>
  <si>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</si>
  <si>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</si>
  <si>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</si>
  <si>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</si>
  <si>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</si>
  <si>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</si>
  <si>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</si>
  <si>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</si>
  <si>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</si>
  <si>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</si>
  <si>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</si>
  <si>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</si>
  <si>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</si>
  <si>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</si>
  <si>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</si>
  <si>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</si>
  <si>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</si>
  <si>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</si>
  <si>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</si>
  <si>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</si>
  <si>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</si>
  <si>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</si>
  <si>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</si>
  <si>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</si>
  <si>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</si>
  <si>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</si>
  <si>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</si>
  <si>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</si>
  <si>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</si>
  <si>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</si>
  <si>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</si>
  <si>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</si>
  <si>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</si>
  <si>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</si>
  <si>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</si>
  <si>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</si>
  <si>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</si>
  <si>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</si>
  <si>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</si>
  <si>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</si>
  <si>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</si>
  <si>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</si>
  <si>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</si>
  <si>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</si>
  <si>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</si>
  <si>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</si>
  <si>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</si>
  <si>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</si>
  <si>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</si>
  <si>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</si>
  <si>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</si>
  <si>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</si>
  <si>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</si>
  <si>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</si>
  <si>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</si>
  <si>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</si>
  <si>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</si>
  <si>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</si>
  <si>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</si>
  <si>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</si>
  <si>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</si>
  <si>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</si>
  <si>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</si>
  <si>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</si>
  <si>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</si>
  <si>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</si>
  <si>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</si>
  <si>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</si>
  <si>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</si>
  <si>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</si>
  <si>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</si>
  <si>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</si>
  <si>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</si>
  <si>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</si>
  <si>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</si>
  <si>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</si>
  <si>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</si>
  <si>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</si>
  <si>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</si>
  <si>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</si>
  <si>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</si>
  <si>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</si>
  <si>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</si>
  <si>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</si>
  <si>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</si>
  <si>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</si>
  <si>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</si>
  <si>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</si>
  <si>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</si>
  <si>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</si>
  <si>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</si>
  <si>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</si>
  <si>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</si>
  <si>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</si>
  <si>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</si>
  <si>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</si>
  <si>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</si>
  <si>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</si>
  <si>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</si>
  <si>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</si>
  <si>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</si>
  <si>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</si>
  <si>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</si>
  <si>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</si>
  <si>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</si>
  <si>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</si>
  <si>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</si>
  <si>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</si>
  <si>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</si>
  <si>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</si>
  <si>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</si>
  <si>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</si>
  <si>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</si>
  <si>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</si>
  <si>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</si>
  <si>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</si>
  <si>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</si>
  <si>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</si>
  <si>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</si>
  <si>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</si>
  <si>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</si>
  <si>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</si>
  <si>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</si>
  <si>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</si>
  <si>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</si>
  <si>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</si>
  <si>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</si>
  <si>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</si>
  <si>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</si>
  <si>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</si>
  <si>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</si>
  <si>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</si>
  <si>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</si>
  <si>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</si>
  <si>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</si>
  <si>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</si>
  <si>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</si>
  <si>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</si>
  <si>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</si>
  <si>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</si>
  <si>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</si>
  <si>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</si>
  <si>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</si>
  <si>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</si>
  <si>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</si>
  <si>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</si>
  <si>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</si>
  <si>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</si>
  <si>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</si>
  <si>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</si>
  <si>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</si>
  <si>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</si>
  <si>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</si>
  <si>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</si>
  <si>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</si>
  <si>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</si>
  <si>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</si>
  <si>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</si>
  <si>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</si>
  <si>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</si>
  <si>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</si>
  <si>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</si>
  <si>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</si>
  <si>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</si>
  <si>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</si>
  <si>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</si>
  <si>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</si>
  <si>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</si>
  <si>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</si>
  <si>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</si>
  <si>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</si>
  <si>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</si>
  <si>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</si>
  <si>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</si>
  <si>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</si>
  <si>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</si>
  <si>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</si>
  <si>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</si>
  <si>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</si>
  <si>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</si>
  <si>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</si>
  <si>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</si>
  <si>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</si>
  <si>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</si>
  <si>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</si>
  <si>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</si>
  <si>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</si>
  <si>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</si>
  <si>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</si>
  <si>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</si>
  <si>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</si>
  <si>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</si>
  <si>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</si>
  <si>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</si>
  <si>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</si>
  <si>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</si>
  <si>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</si>
  <si>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</si>
  <si>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</si>
  <si>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</si>
  <si>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</si>
  <si>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</si>
  <si>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</si>
  <si>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</si>
  <si>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</si>
  <si>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</si>
  <si>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</si>
  <si>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</si>
  <si>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</si>
  <si>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</si>
  <si>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</si>
  <si>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</si>
  <si>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</si>
  <si>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</si>
  <si>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</si>
  <si>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</si>
  <si>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</si>
  <si>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</si>
  <si>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</si>
  <si>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</si>
  <si>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</si>
  <si>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</si>
  <si>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</si>
  <si>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</si>
  <si>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</si>
  <si>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</si>
  <si>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</si>
  <si>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</si>
  <si>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</si>
  <si>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</si>
  <si>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</si>
  <si>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</si>
  <si>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</si>
  <si>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</si>
  <si>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</si>
  <si>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</si>
  <si>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</si>
  <si>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</si>
  <si>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</si>
  <si>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</si>
  <si>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</si>
  <si>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</si>
  <si>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</si>
  <si>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</si>
  <si>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</si>
  <si>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</si>
  <si>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</si>
  <si>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</si>
  <si>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</si>
  <si>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</si>
  <si>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</si>
  <si>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</si>
  <si>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</si>
  <si>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</si>
  <si>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</si>
  <si>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</si>
  <si>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</si>
  <si>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</si>
  <si>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</si>
  <si>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</si>
  <si>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</si>
  <si>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</si>
  <si>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</si>
  <si>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</si>
  <si>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</si>
  <si>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</si>
  <si>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</si>
  <si>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</si>
  <si>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</si>
  <si>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</si>
  <si>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</si>
  <si>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</si>
  <si>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</si>
  <si>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</si>
  <si>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</si>
  <si>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</si>
  <si>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</si>
  <si>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</si>
  <si>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</si>
  <si>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</si>
  <si>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</si>
  <si>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</si>
  <si>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</si>
  <si>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</si>
  <si>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</si>
  <si>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</si>
  <si>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</si>
  <si>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</si>
  <si>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</si>
  <si>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</si>
  <si>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</si>
  <si>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</si>
  <si>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</si>
  <si>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</si>
  <si>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</si>
  <si>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</si>
  <si>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</si>
  <si>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</si>
  <si>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</si>
  <si>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</si>
  <si>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</si>
  <si>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</si>
  <si>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</si>
  <si>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</si>
  <si>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</si>
  <si>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</si>
  <si>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</si>
  <si>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</si>
  <si>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</si>
  <si>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</si>
  <si>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</si>
  <si>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</si>
  <si>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</si>
  <si>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</si>
  <si>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</si>
  <si>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</si>
  <si>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</si>
  <si>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</si>
  <si>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</si>
  <si>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</si>
  <si>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</si>
  <si>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</si>
  <si>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</si>
  <si>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</si>
  <si>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</si>
  <si>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</si>
  <si>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</si>
  <si>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</si>
  <si>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</si>
  <si>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</si>
  <si>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</si>
  <si>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</si>
  <si>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</si>
  <si>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</si>
  <si>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</si>
  <si>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</si>
  <si>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</si>
  <si>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</si>
  <si>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</si>
  <si>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</si>
  <si>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</si>
  <si>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</si>
  <si>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</si>
  <si>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</si>
  <si>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</si>
  <si>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</si>
  <si>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</si>
  <si>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</si>
  <si>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</si>
  <si>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</si>
  <si>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</si>
  <si>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</si>
  <si>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</si>
  <si>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</si>
  <si>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</si>
  <si>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</si>
  <si>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</si>
  <si>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</si>
  <si>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</si>
  <si>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</si>
  <si>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</si>
  <si>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</si>
  <si>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</si>
  <si>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</si>
  <si>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</si>
  <si>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</si>
  <si>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</si>
  <si>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</si>
  <si>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</si>
  <si>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</si>
  <si>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</si>
  <si>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</si>
  <si>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</si>
  <si>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</si>
  <si>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</si>
  <si>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</si>
  <si>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</si>
  <si>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</si>
  <si>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</si>
  <si>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</si>
  <si>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</si>
  <si>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</si>
  <si>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</si>
  <si>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</si>
  <si>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</si>
  <si>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</si>
  <si>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</si>
  <si>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</si>
  <si>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</si>
  <si>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</si>
  <si>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</si>
  <si>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</si>
  <si>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</si>
  <si>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</si>
  <si>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</si>
  <si>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</si>
  <si>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</si>
  <si>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</si>
  <si>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</si>
  <si>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</si>
  <si>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</si>
  <si>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</si>
  <si>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</si>
  <si>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</si>
  <si>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</si>
  <si>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</si>
  <si>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</si>
  <si>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</si>
  <si>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</si>
  <si>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</si>
  <si>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</si>
  <si>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</si>
  <si>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</si>
  <si>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</si>
  <si>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</si>
  <si>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</si>
  <si>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</si>
  <si>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</si>
  <si>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</si>
  <si>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</si>
  <si>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</si>
  <si>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</si>
  <si>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</si>
  <si>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</si>
  <si>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</si>
  <si>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</si>
  <si>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</si>
  <si>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</si>
  <si>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</si>
  <si>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</si>
  <si>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</si>
  <si>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</si>
  <si>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</si>
  <si>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</si>
  <si>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</si>
  <si>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</si>
  <si>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</si>
  <si>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</si>
  <si>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</si>
  <si>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</si>
  <si>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</si>
  <si>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</si>
  <si>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</si>
  <si>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</si>
  <si>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</si>
  <si>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</si>
  <si>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</si>
  <si>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</si>
  <si>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</si>
  <si>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</si>
  <si>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</si>
  <si>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</si>
  <si>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</si>
  <si>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</si>
  <si>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</si>
  <si>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</si>
  <si>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</si>
  <si>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</si>
  <si>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</si>
  <si>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</si>
  <si>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</si>
  <si>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</si>
  <si>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</si>
  <si>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</si>
  <si>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</si>
  <si>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</si>
  <si>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</si>
  <si>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</si>
  <si>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</si>
  <si>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</si>
  <si>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</si>
  <si>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</si>
  <si>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</si>
  <si>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</si>
  <si>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</si>
  <si>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</si>
  <si>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</si>
  <si>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</si>
  <si>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</si>
  <si>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</si>
  <si>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</si>
  <si>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</si>
  <si>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</si>
  <si>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</si>
  <si>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</si>
  <si>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</si>
  <si>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</si>
  <si>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</si>
  <si>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</si>
  <si>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</si>
  <si>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</si>
  <si>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</si>
  <si>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</si>
  <si>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</si>
  <si>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</si>
  <si>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</si>
  <si>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</si>
  <si>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</si>
  <si>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</si>
  <si>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</si>
  <si>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</si>
  <si>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</si>
  <si>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</si>
  <si>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</si>
  <si>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</si>
  <si>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</si>
  <si>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</si>
  <si>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</si>
  <si>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</si>
  <si>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</si>
  <si>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</si>
  <si>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</si>
  <si>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</si>
  <si>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</si>
  <si>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</si>
  <si>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</si>
  <si>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</si>
  <si>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</si>
  <si>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</si>
  <si>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</si>
  <si>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</si>
  <si>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</si>
  <si>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</si>
  <si>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</si>
  <si>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</si>
  <si>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</si>
  <si>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</si>
  <si>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</si>
  <si>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</si>
  <si>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</si>
  <si>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</si>
  <si>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</si>
  <si>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</si>
  <si>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</si>
  <si>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</si>
  <si>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</si>
  <si>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</si>
  <si>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</si>
  <si>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</si>
  <si>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</si>
  <si>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</si>
  <si>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</si>
  <si>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</si>
  <si>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</si>
  <si>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</si>
  <si>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</si>
  <si>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</si>
  <si>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</si>
  <si>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</si>
  <si>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</si>
  <si>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</si>
  <si>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</si>
  <si>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</si>
  <si>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</si>
  <si>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</si>
  <si>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</si>
  <si>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</si>
  <si>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</si>
  <si>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</si>
  <si>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</si>
  <si>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</si>
  <si>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</si>
  <si>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</si>
  <si>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</si>
  <si>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</si>
  <si>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</si>
  <si>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</si>
  <si>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</si>
  <si>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</si>
  <si>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</si>
  <si>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</si>
  <si>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</si>
  <si>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</si>
  <si>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</si>
  <si>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</si>
  <si>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</si>
  <si>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</si>
  <si>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</si>
  <si>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</si>
  <si>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</si>
  <si>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</si>
  <si>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</si>
  <si>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</si>
  <si>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</si>
  <si>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</si>
  <si>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</si>
  <si>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</si>
  <si>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</si>
  <si>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</si>
  <si>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</si>
  <si>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</si>
  <si>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</si>
  <si>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</si>
  <si>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</si>
  <si>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</si>
  <si>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</si>
  <si>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</si>
  <si>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</si>
  <si>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</si>
  <si>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</si>
  <si>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</si>
  <si>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</si>
  <si>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</si>
  <si>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</si>
  <si>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</si>
  <si>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</si>
  <si>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</si>
  <si>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</si>
  <si>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</si>
  <si>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</si>
  <si>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</si>
  <si>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</si>
  <si>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</si>
  <si>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</si>
  <si>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</si>
  <si>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</si>
  <si>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</si>
  <si>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</si>
  <si>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</si>
  <si>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</si>
  <si>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</si>
  <si>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</si>
  <si>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</si>
  <si>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</si>
  <si>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</si>
  <si>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</si>
  <si>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</si>
  <si>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</si>
  <si>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</si>
  <si>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</si>
  <si>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</si>
  <si>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</si>
  <si>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</si>
  <si>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</si>
  <si>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</si>
  <si>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</si>
  <si>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</si>
  <si>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</si>
  <si>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</si>
  <si>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</si>
  <si>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</si>
  <si>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</si>
  <si>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</si>
  <si>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</si>
  <si>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</si>
  <si>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</si>
  <si>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</si>
  <si>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</si>
  <si>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</si>
  <si>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</si>
  <si>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</si>
  <si>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</si>
  <si>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</si>
  <si>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</si>
  <si>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</si>
  <si>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</si>
  <si>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</si>
  <si>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</si>
  <si>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</si>
  <si>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</si>
  <si>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</si>
  <si>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</si>
  <si>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</si>
  <si>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</si>
  <si>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</si>
  <si>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</si>
  <si>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</si>
  <si>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</si>
  <si>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</si>
  <si>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</si>
  <si>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</si>
  <si>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</si>
  <si>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</si>
  <si>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</si>
  <si>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</si>
  <si>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</si>
  <si>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</si>
  <si>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</si>
  <si>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</si>
  <si>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</si>
  <si>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</si>
  <si>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</si>
  <si>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</si>
  <si>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</si>
  <si>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</si>
  <si>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</si>
  <si>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</si>
  <si>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</si>
  <si>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</si>
  <si>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</si>
  <si>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</si>
  <si>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</si>
  <si>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</si>
  <si>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</si>
  <si>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</si>
  <si>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</si>
  <si>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</si>
  <si>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</si>
  <si>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</si>
  <si>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</si>
  <si>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</si>
  <si>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</si>
  <si>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</si>
  <si>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</si>
  <si>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</si>
  <si>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</si>
  <si>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</si>
  <si>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</si>
  <si>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</si>
  <si>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</si>
  <si>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</si>
  <si>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</si>
  <si>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</si>
  <si>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</si>
  <si>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</si>
  <si>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</si>
  <si>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</si>
  <si>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</si>
  <si>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</si>
  <si>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</si>
  <si>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</si>
  <si>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</si>
  <si>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</si>
  <si>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</si>
  <si>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</si>
  <si>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</si>
  <si>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</si>
  <si>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</si>
  <si>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</si>
  <si>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</si>
  <si>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</si>
  <si>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</si>
  <si>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</si>
  <si>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</si>
  <si>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</si>
  <si>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</si>
  <si>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</si>
  <si>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</si>
  <si>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</si>
  <si>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</si>
  <si>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</si>
  <si>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</si>
  <si>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</si>
  <si>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</si>
  <si>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</si>
  <si>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</si>
  <si>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</si>
  <si>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</si>
  <si>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</si>
  <si>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</si>
  <si>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</si>
  <si>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</si>
  <si>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</si>
  <si>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</si>
  <si>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</si>
  <si>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</si>
  <si>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</si>
  <si>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</si>
  <si>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</si>
  <si>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</si>
  <si>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</si>
  <si>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</si>
  <si>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</si>
  <si>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</si>
  <si>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</si>
  <si>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</si>
  <si>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</si>
  <si>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</si>
  <si>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</si>
  <si>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</si>
  <si>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</si>
  <si>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</si>
  <si>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</si>
  <si>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</si>
  <si>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</si>
  <si>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</si>
  <si>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</si>
  <si>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</si>
  <si>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</si>
  <si>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</si>
  <si>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</si>
  <si>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</si>
  <si>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</si>
  <si>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</si>
  <si>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</si>
  <si>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</si>
  <si>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</si>
  <si>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</si>
  <si>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</si>
  <si>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</si>
  <si>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</si>
  <si>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</si>
  <si>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</si>
  <si>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</si>
  <si>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</si>
  <si>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</si>
  <si>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</si>
  <si>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</si>
  <si>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</si>
  <si>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</si>
  <si>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</si>
  <si>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</si>
  <si>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</si>
  <si>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</si>
  <si>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</si>
  <si>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</si>
  <si>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</si>
  <si>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</si>
  <si>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</si>
  <si>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</si>
  <si>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</si>
  <si>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</si>
  <si>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</si>
  <si>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</si>
  <si>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</si>
  <si>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</si>
  <si>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</si>
  <si>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</si>
  <si>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</si>
  <si>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</si>
  <si>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</si>
  <si>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</si>
  <si>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</si>
  <si>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</si>
  <si>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</si>
  <si>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</si>
  <si>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</si>
  <si>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</si>
  <si>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</si>
  <si>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</si>
  <si>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</si>
  <si>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</si>
  <si>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</si>
  <si>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</si>
  <si>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</si>
  <si>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</si>
  <si>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</si>
  <si>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</si>
  <si>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</si>
  <si>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</si>
  <si>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</si>
  <si>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</si>
  <si>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</si>
  <si>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</si>
  <si>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</si>
  <si>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</si>
  <si>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</si>
  <si>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</si>
  <si>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</si>
  <si>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</si>
  <si>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</si>
  <si>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</si>
  <si>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</si>
  <si>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</si>
  <si>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</si>
  <si>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</si>
  <si>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</si>
  <si>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</si>
  <si>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</si>
  <si>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</si>
  <si>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</si>
  <si>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</si>
  <si>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</si>
  <si>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</si>
  <si>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</si>
  <si>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</si>
  <si>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</si>
  <si>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</si>
  <si>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</si>
  <si>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</si>
  <si>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</si>
  <si>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</si>
  <si>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</si>
  <si>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</si>
  <si>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</si>
  <si>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</si>
  <si>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</si>
  <si>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</si>
  <si>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</si>
  <si>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</si>
  <si>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</si>
  <si>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</si>
  <si>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</si>
  <si>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</si>
  <si>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</si>
  <si>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</si>
  <si>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</si>
  <si>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</si>
  <si>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</si>
  <si>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</si>
  <si>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</si>
  <si>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</si>
  <si>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</si>
  <si>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</si>
  <si>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</si>
  <si>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</si>
  <si>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</si>
  <si>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</si>
  <si>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</si>
  <si>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</si>
  <si>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</si>
  <si>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</si>
  <si>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</si>
  <si>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</si>
  <si>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</si>
  <si>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</si>
  <si>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</si>
  <si>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</si>
  <si>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</si>
  <si>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</si>
  <si>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</si>
  <si>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</si>
  <si>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</si>
  <si>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</si>
  <si>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</si>
  <si>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</si>
  <si>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</si>
  <si>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</si>
  <si>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</si>
  <si>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</si>
  <si>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</si>
  <si>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</si>
  <si>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</si>
  <si>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</si>
  <si>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</si>
  <si>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</si>
  <si>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</si>
  <si>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</si>
  <si>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</si>
  <si>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</si>
  <si>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</si>
  <si>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</si>
  <si>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</si>
  <si>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</si>
  <si>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</si>
  <si>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</si>
  <si>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</si>
  <si>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</si>
  <si>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</si>
  <si>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</si>
  <si>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</si>
  <si>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</si>
  <si>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</si>
  <si>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</si>
  <si>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</si>
  <si>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</si>
  <si>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</si>
  <si>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</si>
  <si>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</si>
  <si>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</si>
  <si>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</si>
  <si>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</si>
  <si>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</si>
  <si>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</si>
  <si>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</si>
  <si>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</si>
  <si>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</si>
  <si>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</si>
  <si>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</si>
  <si>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</si>
  <si>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</si>
  <si>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</si>
  <si>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</si>
  <si>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</si>
  <si>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</si>
  <si>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</si>
  <si>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</si>
  <si>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</si>
  <si>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</si>
  <si>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</si>
  <si>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</si>
  <si>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</si>
  <si>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</si>
  <si>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</si>
  <si>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</si>
  <si>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</si>
  <si>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</si>
  <si>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</si>
  <si>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</si>
  <si>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</si>
  <si>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</si>
  <si>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</si>
  <si>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</si>
  <si>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</si>
  <si>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</si>
  <si>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</si>
  <si>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</si>
  <si>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</si>
  <si>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</si>
  <si>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</si>
  <si>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</si>
  <si>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</si>
  <si>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</si>
  <si>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</si>
  <si>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</si>
  <si>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</si>
  <si>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</si>
  <si>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</si>
  <si>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</si>
  <si>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</si>
  <si>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</si>
  <si>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</si>
  <si>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</si>
  <si>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</si>
  <si>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</si>
  <si>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</si>
  <si>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</si>
  <si>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</si>
  <si>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</si>
  <si>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</si>
  <si>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</si>
  <si>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</si>
  <si>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</si>
  <si>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</si>
  <si>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</si>
  <si>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</si>
  <si>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</si>
  <si>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</si>
  <si>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</si>
  <si>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</si>
  <si>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</si>
  <si>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</si>
  <si>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</si>
  <si>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</si>
  <si>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</si>
  <si>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</si>
  <si>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</si>
  <si>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</si>
  <si>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</si>
  <si>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</si>
  <si>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</si>
  <si>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</si>
  <si>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</si>
  <si>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</si>
  <si>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</si>
  <si>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</si>
  <si>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</si>
  <si>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</si>
  <si>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</si>
  <si>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</si>
  <si>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</si>
  <si>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</si>
  <si>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</si>
  <si>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</si>
  <si>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</si>
  <si>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</si>
  <si>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</si>
  <si>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</si>
  <si>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</si>
  <si>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</si>
  <si>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</si>
  <si>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</si>
  <si>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</si>
  <si>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</si>
  <si>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</si>
  <si>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</si>
  <si>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</si>
  <si>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</si>
  <si>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</si>
  <si>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</si>
  <si>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</si>
  <si>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</si>
  <si>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</si>
  <si>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</si>
  <si>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</si>
  <si>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</si>
  <si>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</si>
  <si>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</si>
  <si>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</si>
  <si>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</si>
  <si>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</si>
  <si>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</si>
  <si>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</si>
  <si>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</si>
  <si>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</si>
  <si>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</si>
  <si>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</si>
  <si>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</si>
  <si>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</si>
  <si>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</si>
  <si>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</si>
  <si>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</si>
  <si>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</si>
  <si>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</si>
  <si>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</si>
  <si>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</si>
  <si>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</si>
  <si>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</si>
  <si>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</si>
  <si>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</si>
  <si>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</si>
  <si>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</si>
  <si>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</si>
  <si>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</si>
  <si>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</si>
  <si>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</si>
  <si>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</si>
  <si>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</si>
  <si>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</si>
  <si>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</si>
  <si>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</si>
  <si>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</si>
  <si>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</si>
  <si>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</si>
  <si>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</si>
  <si>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</si>
  <si>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</si>
  <si>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</si>
  <si>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</si>
  <si>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</si>
  <si>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</si>
  <si>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</si>
  <si>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</si>
  <si>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</si>
  <si>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</si>
  <si>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</si>
  <si>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</si>
  <si>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</si>
  <si>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</si>
  <si>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</si>
  <si>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</si>
  <si>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</si>
  <si>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</si>
  <si>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</si>
  <si>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</si>
  <si>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</si>
  <si>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</si>
  <si>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</si>
  <si>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</si>
  <si>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</si>
  <si>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</si>
  <si>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</si>
  <si>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</si>
  <si>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</si>
  <si>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</si>
  <si>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</si>
  <si>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</si>
  <si>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</si>
  <si>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</si>
  <si>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</si>
  <si>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</si>
  <si>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</si>
  <si>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</si>
  <si>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</si>
  <si>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</si>
  <si>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</si>
  <si>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</si>
  <si>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</si>
  <si>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</si>
  <si>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</si>
  <si>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</si>
  <si>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</si>
  <si>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</si>
  <si>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</si>
  <si>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</si>
  <si>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</si>
  <si>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</si>
  <si>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</si>
  <si>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</si>
  <si>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</si>
  <si>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</si>
  <si>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</si>
  <si>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</si>
  <si>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</si>
  <si>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</si>
  <si>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</si>
  <si>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</si>
  <si>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</si>
  <si>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</si>
  <si>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</si>
  <si>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</si>
  <si>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</si>
  <si>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</si>
  <si>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</si>
  <si>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</si>
  <si>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</si>
  <si>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</si>
  <si>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</si>
  <si>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</si>
  <si>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</si>
  <si>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</si>
  <si>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</si>
  <si>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</si>
  <si>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</si>
  <si>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</si>
  <si>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</si>
  <si>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</si>
  <si>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</si>
  <si>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</si>
  <si>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</si>
  <si>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</si>
  <si>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</si>
  <si>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</si>
  <si>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</si>
  <si>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</si>
  <si>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</si>
  <si>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</si>
  <si>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</si>
  <si>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</si>
  <si>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</si>
  <si>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</si>
  <si>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</si>
  <si>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</si>
  <si>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</si>
  <si>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</si>
  <si>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</si>
  <si>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</si>
  <si>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</si>
  <si>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</si>
  <si>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</si>
  <si>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</si>
  <si>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</si>
  <si>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</si>
  <si>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</si>
  <si>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</si>
  <si>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</si>
  <si>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</si>
  <si>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</si>
  <si>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</si>
  <si>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</si>
  <si>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</si>
  <si>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</si>
  <si>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</si>
  <si>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</si>
  <si>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</si>
  <si>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</si>
  <si>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</si>
  <si>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</si>
  <si>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</si>
  <si>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</si>
  <si>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</si>
  <si>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</si>
  <si>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</si>
  <si>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</si>
  <si>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</si>
  <si>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</si>
  <si>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</si>
  <si>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</si>
  <si>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</si>
  <si>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</si>
  <si>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</si>
  <si>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</si>
  <si>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</si>
  <si>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</si>
  <si>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</si>
  <si>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</si>
  <si>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</si>
  <si>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</si>
  <si>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</si>
  <si>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</si>
  <si>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</si>
  <si>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</si>
  <si>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</si>
  <si>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</si>
  <si>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</si>
  <si>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</si>
  <si>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</si>
  <si>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</si>
  <si>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</si>
  <si>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</si>
  <si>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</si>
  <si>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</si>
  <si>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</si>
  <si>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</si>
  <si>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</si>
  <si>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</si>
  <si>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</si>
  <si>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</si>
  <si>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</si>
  <si>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</si>
  <si>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</si>
  <si>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</si>
  <si>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</si>
  <si>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</si>
  <si>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</si>
  <si>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</si>
  <si>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</si>
  <si>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</si>
  <si>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</si>
  <si>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</si>
  <si>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</si>
  <si>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</si>
  <si>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</si>
  <si>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</si>
  <si>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</si>
  <si>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</si>
  <si>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</si>
  <si>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</si>
  <si>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</si>
  <si>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</si>
  <si>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</si>
  <si>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</si>
  <si>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</si>
  <si>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</si>
  <si>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</si>
  <si>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</si>
  <si>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</si>
  <si>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</si>
  <si>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</si>
  <si>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</si>
  <si>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</si>
  <si>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</si>
  <si>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</si>
  <si>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</si>
  <si>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</si>
  <si>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</si>
  <si>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</si>
  <si>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</si>
  <si>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</si>
  <si>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</si>
  <si>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</si>
  <si>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</si>
  <si>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</si>
  <si>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</si>
  <si>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</si>
  <si>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</si>
  <si>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</si>
  <si>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</si>
  <si>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</si>
  <si>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</si>
  <si>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</si>
  <si>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</si>
  <si>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</si>
  <si>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</si>
  <si>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</si>
  <si>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</si>
  <si>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</si>
  <si>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</si>
  <si>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</si>
  <si>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</si>
  <si>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</si>
  <si>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</si>
  <si>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</si>
  <si>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</si>
  <si>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</si>
  <si>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</si>
  <si>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</si>
  <si>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</si>
  <si>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</si>
  <si>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</si>
  <si>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</si>
  <si>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</si>
  <si>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</si>
  <si>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</si>
  <si>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</si>
  <si>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</si>
  <si>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</si>
  <si>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</si>
  <si>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</si>
  <si>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</si>
  <si>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</si>
  <si>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</si>
  <si>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</si>
  <si>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</si>
  <si>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</si>
  <si>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</si>
  <si>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</si>
  <si>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</si>
  <si>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</si>
  <si>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</si>
  <si>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</si>
  <si>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</si>
  <si>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</si>
  <si>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</si>
  <si>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</si>
  <si>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</si>
  <si>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</si>
  <si>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</si>
  <si>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</si>
  <si>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</si>
  <si>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</si>
  <si>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</si>
  <si>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</si>
  <si>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</si>
  <si>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</si>
  <si>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</si>
  <si>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</si>
  <si>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</si>
  <si>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</si>
  <si>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</si>
  <si>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</si>
  <si>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</si>
  <si>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</si>
  <si>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</si>
  <si>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</si>
  <si>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</si>
  <si>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</si>
  <si>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</si>
  <si>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</si>
  <si>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</si>
  <si>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</si>
  <si>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</si>
  <si>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</si>
  <si>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</si>
  <si>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</si>
  <si>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</si>
  <si>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</si>
  <si>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</si>
  <si>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</si>
  <si>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</si>
  <si>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</si>
  <si>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</si>
  <si>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</si>
  <si>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</si>
  <si>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</si>
  <si>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</si>
  <si>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</si>
  <si>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</si>
  <si>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</si>
  <si>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</si>
  <si>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</si>
  <si>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</si>
  <si>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</si>
  <si>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</si>
  <si>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</si>
  <si>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</si>
  <si>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</si>
  <si>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</si>
  <si>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</si>
  <si>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</si>
  <si>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</si>
  <si>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</si>
  <si>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</si>
  <si>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</si>
  <si>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</si>
  <si>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</si>
  <si>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</si>
  <si>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</si>
  <si>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</si>
  <si>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</si>
  <si>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</si>
  <si>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</si>
  <si>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</si>
  <si>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</si>
  <si>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</si>
  <si>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</si>
  <si>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</si>
  <si>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</si>
  <si>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</si>
  <si>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</si>
  <si>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</si>
  <si>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</si>
  <si>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</si>
  <si>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</si>
  <si>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</si>
  <si>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</si>
  <si>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</si>
  <si>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</si>
  <si>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</si>
  <si>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</si>
  <si>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</si>
  <si>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</si>
  <si>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</si>
  <si>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</si>
  <si>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</si>
  <si>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</si>
  <si>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</si>
  <si>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</si>
  <si>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</si>
  <si>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</si>
  <si>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</si>
  <si>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</si>
  <si>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</si>
  <si>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</si>
  <si>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</si>
  <si>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</si>
  <si>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</si>
  <si>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</si>
  <si>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</si>
  <si>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</si>
  <si>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</si>
  <si>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</si>
  <si>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</si>
  <si>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</si>
  <si>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</si>
  <si>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</si>
  <si>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</si>
  <si>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</si>
  <si>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</si>
  <si>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</si>
  <si>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</si>
  <si>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</si>
  <si>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</si>
  <si>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</si>
  <si>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</si>
  <si>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</si>
  <si>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</si>
  <si>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</si>
  <si>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</si>
  <si>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</si>
  <si>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</si>
  <si>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</si>
  <si>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</si>
  <si>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</si>
  <si>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</si>
  <si>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</si>
  <si>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</si>
  <si>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</si>
  <si>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</si>
  <si>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</si>
  <si>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</si>
  <si>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</si>
  <si>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</si>
  <si>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</si>
  <si>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</si>
  <si>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</si>
  <si>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</si>
  <si>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</si>
  <si>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</si>
  <si>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</si>
  <si>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</si>
  <si>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</si>
  <si>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</si>
  <si>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</si>
  <si>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</si>
  <si>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</si>
  <si>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</si>
  <si>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</si>
  <si>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</si>
  <si>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</si>
  <si>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</si>
  <si>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</si>
  <si>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</si>
  <si>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</si>
  <si>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</si>
  <si>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</si>
  <si>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</si>
  <si>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</si>
  <si>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</si>
  <si>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</si>
  <si>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</si>
  <si>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</si>
  <si>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</si>
  <si>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</si>
  <si>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</si>
  <si>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</si>
  <si>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</si>
  <si>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</si>
  <si>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</si>
  <si>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</si>
  <si>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</si>
  <si>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</si>
  <si>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</si>
  <si>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</si>
  <si>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</si>
  <si>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</si>
  <si>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</si>
  <si>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</si>
  <si>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</si>
  <si>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</si>
  <si>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</si>
  <si>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</si>
  <si>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</si>
  <si>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</si>
  <si>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</si>
  <si>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</si>
  <si>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</si>
  <si>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</si>
  <si>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</si>
  <si>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</si>
  <si>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</si>
  <si>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</si>
  <si>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</si>
  <si>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</si>
  <si>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</si>
  <si>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</si>
  <si>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</si>
  <si>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</si>
  <si>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</si>
  <si>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</si>
  <si>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</si>
  <si>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</si>
  <si>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</si>
  <si>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</si>
  <si>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</si>
  <si>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</si>
  <si>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</si>
  <si>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</si>
  <si>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</si>
  <si>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</si>
  <si>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</si>
  <si>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</si>
  <si>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</si>
  <si>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</si>
  <si>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</si>
  <si>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</si>
  <si>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</si>
  <si>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</si>
  <si>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</si>
  <si>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</si>
  <si>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</si>
  <si>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</si>
  <si>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</si>
  <si>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</si>
  <si>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</si>
  <si>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</si>
  <si>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</si>
  <si>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</si>
  <si>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</si>
  <si>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</si>
  <si>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</si>
  <si>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</si>
  <si>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</si>
  <si>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</si>
  <si>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</si>
  <si>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</si>
  <si>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</si>
  <si>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</si>
  <si>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</si>
  <si>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</si>
  <si>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</si>
  <si>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</si>
  <si>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</si>
  <si>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</si>
  <si>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</si>
  <si>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</si>
  <si>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</si>
  <si>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</si>
  <si>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</si>
  <si>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</si>
  <si>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</si>
  <si>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</si>
  <si>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</si>
  <si>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</si>
  <si>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</si>
  <si>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</si>
  <si>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</si>
  <si>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</si>
  <si>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</si>
  <si>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</si>
  <si>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</si>
  <si>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</si>
  <si>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</si>
  <si>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</si>
  <si>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</si>
  <si>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</si>
  <si>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</si>
  <si>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</si>
  <si>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</si>
  <si>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</si>
  <si>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</si>
  <si>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</si>
  <si>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</si>
  <si>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</si>
  <si>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</si>
  <si>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</si>
  <si>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</si>
  <si>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</si>
  <si>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</si>
  <si>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</si>
  <si>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</si>
  <si>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</si>
  <si>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</si>
  <si>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</si>
  <si>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</si>
  <si>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</si>
  <si>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</si>
  <si>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</si>
  <si>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</si>
  <si>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</si>
  <si>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</si>
  <si>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</si>
  <si>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</si>
  <si>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</si>
  <si>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</si>
  <si>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</si>
  <si>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</si>
  <si>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</si>
  <si>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</si>
  <si>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</si>
  <si>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</si>
  <si>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</si>
  <si>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</si>
  <si>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</si>
  <si>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</si>
  <si>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</si>
  <si>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</si>
  <si>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</si>
  <si>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</si>
  <si>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</si>
  <si>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</si>
  <si>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</si>
  <si>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</si>
  <si>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</si>
  <si>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</si>
  <si>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</si>
  <si>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</si>
  <si>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</si>
  <si>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</si>
  <si>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</si>
  <si>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</si>
  <si>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</si>
  <si>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</si>
  <si>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</si>
  <si>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</si>
  <si>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</si>
  <si>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</si>
  <si>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</si>
  <si>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</si>
  <si>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</si>
  <si>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</si>
  <si>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</si>
  <si>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</si>
  <si>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</si>
  <si>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</si>
  <si>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</si>
  <si>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</si>
  <si>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</si>
  <si>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</si>
  <si>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</si>
  <si>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</si>
  <si>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</si>
  <si>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</si>
  <si>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</si>
  <si>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</si>
  <si>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</si>
  <si>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</si>
  <si>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</si>
  <si>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</si>
  <si>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</si>
  <si>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</si>
  <si>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</si>
  <si>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</si>
  <si>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</si>
  <si>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</si>
  <si>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</si>
  <si>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</si>
  <si>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</si>
  <si>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</si>
  <si>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</si>
  <si>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</si>
  <si>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</si>
  <si>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</si>
  <si>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</si>
  <si>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</si>
  <si>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</si>
  <si>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</si>
  <si>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</si>
  <si>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</si>
  <si>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</si>
  <si>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</si>
  <si>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</si>
  <si>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</si>
  <si>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</si>
  <si>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</si>
  <si>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</si>
  <si>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</si>
  <si>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</si>
  <si>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</si>
  <si>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</si>
  <si>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</si>
  <si>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</si>
  <si>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</si>
  <si>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</si>
  <si>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</si>
  <si>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</si>
  <si>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</si>
  <si>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</si>
  <si>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</si>
  <si>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</si>
  <si>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</si>
  <si>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</si>
  <si>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</si>
  <si>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</si>
  <si>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</si>
  <si>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</si>
  <si>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</si>
  <si>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</si>
  <si>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</si>
  <si>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</si>
  <si>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</si>
  <si>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</si>
  <si>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</si>
  <si>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</si>
  <si>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</si>
  <si>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</si>
  <si>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</si>
  <si>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</si>
  <si>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</si>
  <si>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</si>
  <si>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</si>
  <si>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</si>
  <si>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</si>
  <si>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</si>
  <si>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</si>
  <si>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</si>
  <si>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</si>
  <si>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</si>
  <si>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</si>
  <si>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</si>
  <si>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</si>
  <si>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</si>
  <si>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</si>
  <si>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</si>
  <si>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</si>
  <si>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</si>
  <si>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</si>
  <si>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</si>
  <si>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</si>
  <si>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</si>
  <si>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</si>
  <si>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</si>
  <si>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</si>
  <si>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</si>
  <si>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</si>
  <si>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</si>
  <si>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</si>
  <si>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</si>
  <si>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</si>
  <si>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</si>
  <si>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</si>
  <si>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</si>
  <si>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</si>
  <si>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</si>
  <si>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</si>
  <si>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</si>
  <si>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</si>
  <si>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</si>
  <si>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</si>
  <si>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</si>
  <si>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</si>
  <si>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</si>
  <si>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</si>
  <si>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</si>
  <si>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</si>
  <si>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</si>
  <si>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</si>
  <si>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</si>
  <si>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</si>
  <si>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</si>
  <si>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</si>
  <si>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</si>
  <si>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</si>
  <si>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</si>
  <si>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</si>
  <si>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</si>
  <si>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</si>
  <si>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</si>
  <si>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</si>
  <si>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</si>
  <si>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</si>
  <si>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</si>
  <si>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</si>
  <si>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</si>
  <si>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</si>
  <si>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</si>
  <si>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</si>
  <si>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</si>
  <si>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</si>
  <si>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</si>
  <si>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</si>
  <si>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</si>
  <si>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</si>
  <si>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</si>
  <si>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</si>
  <si>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</si>
  <si>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</si>
  <si>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</si>
  <si>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</si>
  <si>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</si>
  <si>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</si>
  <si>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</si>
  <si>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</si>
  <si>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</si>
  <si>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</si>
  <si>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</si>
  <si>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</si>
  <si>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</si>
  <si>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</si>
  <si>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</si>
  <si>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</si>
  <si>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</si>
  <si>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</si>
  <si>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</si>
  <si>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</si>
  <si>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</si>
  <si>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</si>
  <si>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</si>
  <si>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</si>
  <si>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</si>
  <si>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</si>
  <si>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</si>
  <si>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</si>
  <si>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</si>
  <si>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</si>
  <si>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</si>
  <si>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</si>
  <si>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</si>
  <si>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</si>
  <si>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</si>
  <si>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</si>
  <si>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</si>
  <si>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</si>
  <si>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</si>
  <si>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</si>
  <si>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</si>
  <si>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</si>
  <si>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</si>
  <si>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</si>
  <si>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</si>
  <si>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</si>
  <si>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</si>
  <si>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</si>
  <si>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</si>
  <si>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</si>
  <si>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</si>
  <si>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</si>
  <si>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</si>
  <si>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</si>
  <si>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</si>
  <si>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</si>
  <si>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</si>
  <si>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</si>
  <si>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</si>
  <si>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</si>
  <si>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</si>
  <si>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</si>
  <si>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</si>
  <si>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</si>
  <si>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</si>
  <si>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</si>
  <si>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</si>
  <si>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</si>
  <si>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</si>
  <si>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</si>
  <si>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</si>
  <si>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</si>
  <si>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</si>
  <si>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</si>
  <si>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</si>
  <si>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</si>
  <si>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</si>
  <si>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</si>
  <si>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</si>
  <si>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</si>
  <si>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</si>
  <si>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</si>
  <si>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</si>
  <si>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</si>
  <si>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</si>
  <si>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</si>
  <si>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</si>
  <si>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</si>
  <si>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</si>
  <si>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</si>
  <si>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</si>
  <si>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</si>
  <si>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</si>
  <si>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</si>
  <si>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</si>
  <si>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</si>
  <si>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</si>
  <si>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</si>
  <si>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</si>
  <si>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</si>
  <si>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</si>
  <si>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</si>
  <si>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</si>
  <si>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</si>
  <si>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</si>
  <si>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</si>
  <si>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</si>
  <si>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</si>
  <si>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</si>
  <si>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</si>
  <si>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</si>
  <si>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</si>
  <si>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</si>
  <si>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</si>
  <si>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</si>
  <si>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</si>
  <si>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</si>
  <si>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</si>
  <si>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</si>
  <si>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</si>
  <si>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</si>
  <si>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</si>
  <si>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</si>
  <si>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</si>
  <si>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</si>
  <si>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</si>
  <si>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</si>
  <si>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</si>
  <si>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</si>
  <si>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</si>
  <si>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</si>
  <si>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</si>
  <si>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</si>
  <si>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</si>
  <si>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</si>
  <si>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</si>
  <si>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</si>
  <si>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</si>
  <si>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</si>
  <si>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</si>
  <si>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</si>
  <si>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</si>
  <si>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</si>
  <si>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</si>
  <si>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</si>
  <si>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</si>
  <si>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</si>
  <si>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</si>
  <si>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</si>
  <si>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</si>
  <si>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</si>
  <si>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</si>
  <si>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</si>
  <si>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</si>
  <si>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</si>
  <si>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</si>
  <si>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</si>
  <si>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</si>
  <si>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</si>
  <si>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</si>
  <si>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</si>
  <si>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</si>
  <si>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</si>
  <si>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</si>
  <si>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</si>
  <si>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</si>
  <si>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</si>
  <si>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</si>
  <si>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</si>
  <si>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</si>
  <si>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</si>
  <si>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</si>
  <si>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</si>
  <si>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</si>
  <si>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</si>
  <si>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</si>
  <si>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</si>
  <si>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</si>
  <si>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</si>
  <si>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</si>
  <si>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</si>
  <si>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</si>
  <si>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</si>
  <si>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</si>
  <si>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</si>
  <si>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</si>
  <si>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</si>
  <si>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</si>
  <si>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</si>
  <si>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</si>
  <si>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</si>
  <si>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</si>
  <si>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</si>
  <si>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</si>
  <si>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</si>
  <si>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</si>
  <si>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</si>
  <si>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</si>
  <si>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</si>
  <si>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</si>
  <si>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</si>
  <si>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</si>
  <si>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</si>
  <si>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</si>
  <si>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</si>
  <si>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</si>
  <si>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</si>
  <si>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</si>
  <si>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</si>
  <si>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</si>
  <si>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</si>
  <si>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</si>
  <si>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</si>
  <si>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</si>
  <si>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</si>
  <si>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</si>
  <si>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</si>
  <si>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</si>
  <si>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</si>
  <si>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</si>
  <si>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</si>
  <si>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</si>
  <si>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</si>
  <si>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</si>
  <si>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</si>
  <si>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</si>
  <si>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</si>
  <si>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</si>
  <si>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</si>
  <si>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</si>
  <si>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</si>
  <si>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</si>
  <si>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</si>
  <si>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</si>
  <si>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</si>
  <si>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</si>
  <si>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</si>
  <si>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</si>
  <si>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</si>
  <si>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</si>
  <si>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</si>
  <si>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</si>
  <si>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</si>
  <si>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</si>
  <si>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</si>
  <si>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</si>
  <si>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</si>
  <si>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</si>
  <si>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</si>
  <si>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</si>
  <si>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</si>
  <si>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</si>
  <si>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</si>
  <si>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</si>
  <si>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</si>
  <si>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</si>
  <si>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</si>
  <si>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</si>
  <si>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</si>
  <si>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</si>
  <si>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</si>
  <si>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</si>
  <si>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</si>
  <si>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</si>
  <si>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</si>
  <si>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</si>
  <si>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</si>
  <si>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</si>
  <si>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</si>
  <si>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</si>
  <si>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</si>
  <si>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</si>
  <si>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</si>
  <si>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</si>
  <si>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</si>
  <si>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</si>
  <si>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</si>
  <si>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</si>
  <si>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</si>
  <si>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</si>
  <si>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</si>
  <si>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</si>
  <si>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</si>
  <si>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</si>
  <si>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</si>
  <si>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</si>
  <si>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</si>
  <si>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</si>
  <si>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</si>
  <si>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</si>
  <si>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</si>
  <si>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</si>
  <si>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</si>
  <si>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</si>
  <si>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</si>
  <si>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</si>
  <si>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</si>
  <si>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</si>
  <si>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</si>
  <si>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</si>
  <si>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</si>
  <si>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</si>
  <si>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</si>
  <si>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</si>
  <si>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</si>
  <si>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</si>
  <si>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</si>
  <si>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</si>
  <si>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</si>
  <si>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</si>
  <si>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</si>
  <si>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</si>
  <si>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</si>
  <si>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</si>
  <si>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</si>
  <si>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</si>
  <si>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</si>
  <si>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</si>
  <si>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</si>
  <si>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</si>
  <si>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</si>
  <si>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</si>
  <si>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</si>
  <si>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</si>
  <si>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</si>
  <si>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</si>
  <si>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</si>
  <si>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</si>
  <si>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</si>
  <si>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</si>
  <si>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</si>
  <si>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</si>
  <si>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</si>
  <si>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</si>
  <si>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</si>
  <si>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</si>
  <si>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</si>
  <si>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</si>
  <si>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</si>
  <si>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</si>
  <si>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</si>
  <si>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</si>
  <si>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</si>
  <si>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</si>
  <si>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</si>
  <si>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</si>
  <si>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</si>
  <si>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</si>
  <si>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</si>
  <si>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</si>
  <si>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</si>
  <si>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</si>
  <si>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</si>
  <si>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</si>
  <si>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</si>
  <si>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</si>
  <si>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</si>
  <si>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</si>
  <si>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</si>
  <si>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</si>
  <si>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</si>
  <si>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</si>
  <si>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</si>
  <si>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</si>
  <si>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</si>
  <si>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</si>
  <si>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</si>
  <si>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</si>
  <si>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</si>
  <si>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</si>
  <si>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</si>
  <si>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</si>
  <si>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</si>
  <si>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</si>
  <si>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</si>
  <si>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</si>
  <si>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</si>
  <si>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</si>
  <si>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</si>
  <si>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</si>
  <si>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</si>
  <si>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</si>
  <si>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</si>
  <si>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</si>
  <si>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</si>
  <si>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</si>
  <si>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</si>
  <si>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</si>
  <si>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</si>
  <si>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</si>
  <si>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</si>
  <si>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</si>
  <si>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</si>
  <si>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</si>
  <si>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</si>
  <si>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</si>
  <si>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</si>
  <si>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</si>
  <si>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</si>
  <si>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</si>
  <si>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</si>
  <si>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</si>
  <si>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</si>
  <si>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</si>
  <si>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Malus sp.</t>
  </si>
  <si>
    <t>Exotic Lonicera spp.</t>
  </si>
  <si>
    <t>D3p, D1-2p, C1-3b</t>
  </si>
  <si>
    <t>Parthenocissus sp.</t>
  </si>
  <si>
    <t>H1-3p</t>
  </si>
  <si>
    <t>G1-3r</t>
  </si>
  <si>
    <t>LHPP22022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</si>
</sst>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4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 applyAlignment="1">
      <alignment vertical="center"/>
    </xf>
    <xf numFmtId="0" fontId="44" fillId="0" borderId="25" xfId="0" applyFont="1" applyBorder="1"/>
    <xf numFmtId="0" fontId="44" fillId="0" borderId="25" xfId="0" applyFont="1" applyBorder="1" applyAlignment="1">
      <alignment horizont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7" t="s">
        <v>57</v>
      </c>
      <c r="B2" s="137"/>
      <c r="C2" s="137"/>
      <c r="D2" s="137"/>
      <c r="E2" s="137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39" t="s">
        <v>5390</v>
      </c>
      <c r="B22" s="139"/>
      <c r="C22" s="139"/>
      <c r="D22" s="139"/>
      <c r="E22" s="139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8" t="s">
        <v>5391</v>
      </c>
      <c r="B24" s="138"/>
      <c r="C24" s="138"/>
      <c r="D24" s="138"/>
      <c r="E24" s="138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38" t="s">
        <v>61</v>
      </c>
      <c r="B39" s="138"/>
      <c r="C39" s="138"/>
      <c r="D39" s="138"/>
      <c r="E39" s="138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38" t="s">
        <v>62</v>
      </c>
      <c r="B45" s="138"/>
      <c r="C45" s="138"/>
      <c r="D45" s="138"/>
      <c r="E45" s="138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3" t="s">
        <v>43</v>
      </c>
      <c r="B93" s="134"/>
      <c r="C93" s="136"/>
      <c r="D93" s="140" t="s">
        <v>44</v>
      </c>
      <c r="E93" s="135"/>
    </row>
    <row r="94" spans="1:5" x14ac:dyDescent="0.2">
      <c r="A94" s="73" t="s">
        <v>23</v>
      </c>
      <c r="B94" s="131" t="s">
        <v>30</v>
      </c>
      <c r="C94" s="132"/>
      <c r="D94" s="3" t="s">
        <v>46</v>
      </c>
      <c r="E94" s="9">
        <v>8</v>
      </c>
    </row>
    <row r="95" spans="1:5" x14ac:dyDescent="0.2">
      <c r="A95" s="73" t="s">
        <v>24</v>
      </c>
      <c r="B95" s="127" t="s">
        <v>31</v>
      </c>
      <c r="C95" s="128"/>
      <c r="D95" s="3" t="s">
        <v>47</v>
      </c>
      <c r="E95" s="9">
        <v>7</v>
      </c>
    </row>
    <row r="96" spans="1:5" x14ac:dyDescent="0.2">
      <c r="A96" s="73" t="s">
        <v>3</v>
      </c>
      <c r="B96" s="127" t="s">
        <v>32</v>
      </c>
      <c r="C96" s="128"/>
      <c r="D96" s="3" t="s">
        <v>48</v>
      </c>
      <c r="E96" s="9">
        <v>6</v>
      </c>
    </row>
    <row r="97" spans="1:5" x14ac:dyDescent="0.2">
      <c r="A97" s="73" t="s">
        <v>25</v>
      </c>
      <c r="B97" s="127" t="s">
        <v>33</v>
      </c>
      <c r="C97" s="128"/>
      <c r="D97" s="3" t="s">
        <v>49</v>
      </c>
      <c r="E97" s="9">
        <v>5</v>
      </c>
    </row>
    <row r="98" spans="1:5" x14ac:dyDescent="0.2">
      <c r="A98" s="73" t="s">
        <v>26</v>
      </c>
      <c r="B98" s="127" t="s">
        <v>34</v>
      </c>
      <c r="C98" s="128"/>
      <c r="D98" s="3" t="s">
        <v>50</v>
      </c>
      <c r="E98" s="9">
        <v>4</v>
      </c>
    </row>
    <row r="99" spans="1:5" x14ac:dyDescent="0.2">
      <c r="A99" s="73" t="s">
        <v>27</v>
      </c>
      <c r="B99" s="127" t="s">
        <v>35</v>
      </c>
      <c r="C99" s="128"/>
      <c r="D99" s="3" t="s">
        <v>4</v>
      </c>
      <c r="E99" s="9">
        <v>3</v>
      </c>
    </row>
    <row r="100" spans="1:5" x14ac:dyDescent="0.2">
      <c r="A100" s="73" t="s">
        <v>2</v>
      </c>
      <c r="B100" s="127" t="s">
        <v>36</v>
      </c>
      <c r="C100" s="128"/>
      <c r="D100" s="3" t="s">
        <v>5</v>
      </c>
      <c r="E100" s="9">
        <v>2</v>
      </c>
    </row>
    <row r="101" spans="1:5" x14ac:dyDescent="0.2">
      <c r="A101" s="73" t="s">
        <v>28</v>
      </c>
      <c r="B101" s="127" t="s">
        <v>37</v>
      </c>
      <c r="C101" s="128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29" t="s">
        <v>38</v>
      </c>
      <c r="C102" s="130"/>
      <c r="D102" s="5"/>
      <c r="E102" s="8"/>
    </row>
    <row r="103" spans="1:5" ht="13.5" thickBot="1" x14ac:dyDescent="0.25">
      <c r="A103" s="133" t="s">
        <v>68</v>
      </c>
      <c r="B103" s="134"/>
      <c r="C103" s="136"/>
      <c r="D103" s="140" t="s">
        <v>45</v>
      </c>
      <c r="E103" s="135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3" t="s">
        <v>21</v>
      </c>
      <c r="B112" s="134"/>
      <c r="C112" s="135"/>
    </row>
    <row r="113" spans="1:3" x14ac:dyDescent="0.2">
      <c r="A113" s="73">
        <v>1</v>
      </c>
      <c r="B113" s="131" t="s">
        <v>40</v>
      </c>
      <c r="C113" s="132"/>
    </row>
    <row r="114" spans="1:3" x14ac:dyDescent="0.2">
      <c r="A114" s="73" t="s">
        <v>39</v>
      </c>
      <c r="B114" s="127" t="s">
        <v>41</v>
      </c>
      <c r="C114" s="128"/>
    </row>
    <row r="115" spans="1:3" x14ac:dyDescent="0.2">
      <c r="A115" s="74" t="s">
        <v>15</v>
      </c>
      <c r="B115" s="125" t="s">
        <v>42</v>
      </c>
      <c r="C115" s="126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7" t="s">
        <v>127</v>
      </c>
      <c r="B1" s="137"/>
      <c r="C1" s="137"/>
      <c r="D1" s="137"/>
      <c r="E1" s="137"/>
      <c r="F1" s="137"/>
      <c r="G1" s="137"/>
      <c r="H1" s="14"/>
    </row>
    <row r="2" spans="1:14" x14ac:dyDescent="0.2">
      <c r="A2" s="143" t="s">
        <v>138</v>
      </c>
      <c r="B2" s="143"/>
      <c r="C2" s="15"/>
      <c r="D2" s="15"/>
      <c r="E2" s="15"/>
      <c r="F2" s="15"/>
      <c r="G2" s="15"/>
      <c r="H2" s="15"/>
    </row>
    <row r="3" spans="1:14" x14ac:dyDescent="0.2">
      <c r="A3" s="144" t="s">
        <v>52</v>
      </c>
      <c r="B3" s="144"/>
      <c r="C3" s="15"/>
      <c r="D3" s="15"/>
      <c r="E3" s="15"/>
      <c r="F3" s="15"/>
      <c r="G3" s="15"/>
      <c r="H3" s="15"/>
    </row>
    <row r="4" spans="1:14" x14ac:dyDescent="0.2">
      <c r="A4" s="144" t="s">
        <v>55</v>
      </c>
      <c r="B4" s="144"/>
      <c r="C4" s="15"/>
      <c r="D4" s="15"/>
      <c r="E4" s="15"/>
      <c r="F4" s="15"/>
      <c r="G4" s="15"/>
      <c r="H4" s="15"/>
    </row>
    <row r="5" spans="1:14" x14ac:dyDescent="0.2">
      <c r="A5" s="144" t="s">
        <v>51</v>
      </c>
      <c r="B5" s="144"/>
      <c r="C5" s="15"/>
      <c r="D5" s="15"/>
      <c r="E5" s="15"/>
      <c r="F5" s="15"/>
      <c r="G5" s="15"/>
      <c r="H5" s="15"/>
    </row>
    <row r="6" spans="1:14" x14ac:dyDescent="0.2">
      <c r="A6" s="141" t="s">
        <v>128</v>
      </c>
      <c r="B6" s="141"/>
    </row>
    <row r="7" spans="1:14" x14ac:dyDescent="0.2">
      <c r="A7" s="141" t="s">
        <v>129</v>
      </c>
      <c r="B7" s="141"/>
      <c r="C7" s="142"/>
      <c r="D7" s="142"/>
      <c r="E7" s="142"/>
      <c r="F7" s="142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321" zoomScale="70" zoomScaleNormal="70" workbookViewId="0">
      <selection activeCell="C1339" sqref="C133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19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1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6" t="s">
        <v>5439</v>
      </c>
      <c r="C1120" s="39">
        <v>0</v>
      </c>
      <c r="D1120" s="117" t="s">
        <v>149</v>
      </c>
      <c r="E1120" s="118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0" customFormat="1" ht="15.75" thickBot="1" x14ac:dyDescent="0.3">
      <c r="A1186" s="113" t="s">
        <v>5435</v>
      </c>
      <c r="C1186" s="110">
        <v>0</v>
      </c>
      <c r="D1186" s="110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0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>
        <v>6</v>
      </c>
      <c r="D1337" s="31" t="s">
        <v>149</v>
      </c>
      <c r="E1337" s="37" t="s">
        <v>147</v>
      </c>
      <c r="F1337" s="37"/>
    </row>
    <row r="1338" spans="1:7" x14ac:dyDescent="0.2">
      <c r="A1338" s="36" t="s">
        <v>2322</v>
      </c>
      <c r="B1338" s="31" t="s">
        <v>2321</v>
      </c>
      <c r="C1338" s="37">
        <v>6</v>
      </c>
      <c r="D1338" s="31" t="s">
        <v>149</v>
      </c>
      <c r="E1338" s="37" t="s">
        <v>147</v>
      </c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4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1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6" t="s">
        <v>5438</v>
      </c>
      <c r="C2392" s="39">
        <v>3</v>
      </c>
      <c r="D2392" s="117" t="s">
        <v>157</v>
      </c>
      <c r="E2392" s="118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1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08" customFormat="1" ht="15" x14ac:dyDescent="0.25">
      <c r="A2524" s="109" t="s">
        <v>5428</v>
      </c>
      <c r="C2524" s="108">
        <v>3</v>
      </c>
      <c r="D2524" s="108" t="s">
        <v>149</v>
      </c>
      <c r="E2524" s="108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2" customFormat="1" x14ac:dyDescent="0.2">
      <c r="A2670" s="36" t="s">
        <v>5436</v>
      </c>
      <c r="C2670" s="112">
        <v>1</v>
      </c>
      <c r="D2670" s="112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5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6" t="s">
        <v>138</v>
      </c>
      <c r="B2" s="46" t="s">
        <v>5449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6"/>
      <c r="C7" s="146"/>
      <c r="D7" s="146"/>
      <c r="E7" s="14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4" customFormat="1" ht="14.25" thickTop="1" thickBot="1" x14ac:dyDescent="0.25">
      <c r="A10" s="45" t="s">
        <v>5445</v>
      </c>
      <c r="B10" s="151"/>
      <c r="C10" s="151"/>
      <c r="D10" s="151"/>
      <c r="E10" s="151"/>
      <c r="F10" s="151"/>
      <c r="G10" s="151"/>
      <c r="H10" s="151"/>
      <c r="I10" s="152"/>
      <c r="J10" s="151"/>
      <c r="K10" s="151"/>
      <c r="L10" s="151"/>
      <c r="M10" s="151"/>
      <c r="N10" s="153"/>
      <c r="O10" s="153"/>
    </row>
    <row r="11" spans="1:15" s="124" customFormat="1" ht="13.5" thickTop="1" x14ac:dyDescent="0.2">
      <c r="A11" s="151"/>
      <c r="B11" s="151"/>
      <c r="C11" s="151"/>
      <c r="D11" s="151"/>
      <c r="E11" s="151"/>
      <c r="F11" s="151"/>
      <c r="G11" s="151"/>
      <c r="H11" s="151"/>
      <c r="I11" s="152"/>
      <c r="J11" s="151"/>
      <c r="K11" s="151"/>
      <c r="L11" s="151"/>
      <c r="M11" s="151"/>
      <c r="N11" s="153"/>
      <c r="O11" s="153"/>
    </row>
    <row r="12" spans="1:15" x14ac:dyDescent="0.2">
      <c r="A12" s="121" t="s">
        <v>5444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0</v>
      </c>
      <c r="D12" s="99">
        <f t="shared" ref="D12:D13" si="0">VALUE(C12)</f>
        <v>0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91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13" si="1">VALUE(L12)</f>
        <v>15</v>
      </c>
      <c r="N12" s="107">
        <f t="shared" ref="N12:N77" si="2">L12/$L$153</f>
        <v>0.15873015873015872</v>
      </c>
      <c r="O12" s="107">
        <f t="shared" ref="O12:O13" si="3">D12*N12</f>
        <v>0</v>
      </c>
    </row>
    <row r="13" spans="1:15" x14ac:dyDescent="0.2">
      <c r="A13" s="122" t="s">
        <v>3692</v>
      </c>
      <c r="B13" s="44" t="str">
        <f>IF(LEN(VLOOKUP(A13,'Species List'!$A:$G,2,FALSE))=0,"",VLOOKUP(A13,'Species List'!$A:$G,2,FALSE))</f>
        <v>bur oak</v>
      </c>
      <c r="C13" s="44">
        <f>IF(LEN(VLOOKUP(A13,'Species List'!$A:$G,3,FALSE))=0,"",VLOOKUP(A13,'Species List'!$A:$G,3,FALSE))</f>
        <v>5</v>
      </c>
      <c r="D13" s="99">
        <f t="shared" si="0"/>
        <v>5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[FAC-]</v>
      </c>
      <c r="H13" s="44">
        <f>VLOOKUP(A13,'Species List'!$A:$G,7,FALSE)</f>
        <v>0</v>
      </c>
      <c r="J13" s="91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7">
        <f t="shared" si="2"/>
        <v>3.1746031746031744E-2</v>
      </c>
      <c r="O13" s="107">
        <f t="shared" si="3"/>
        <v>0.15873015873015872</v>
      </c>
    </row>
    <row r="14" spans="1:15" x14ac:dyDescent="0.2">
      <c r="A14" s="122" t="s">
        <v>2138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0</v>
      </c>
      <c r="D14" s="99">
        <f>VALUE(C14)</f>
        <v>0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[FAC+]</v>
      </c>
      <c r="H14" s="44">
        <f>VLOOKUP(A14,'Species List'!$A:$G,7,FALSE)</f>
        <v>0</v>
      </c>
      <c r="J14" s="91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>VALUE(L14)</f>
        <v>3</v>
      </c>
      <c r="N14" s="85">
        <f t="shared" si="2"/>
        <v>3.1746031746031744E-2</v>
      </c>
      <c r="O14" s="85">
        <f>D14*N14</f>
        <v>0</v>
      </c>
    </row>
    <row r="15" spans="1:15" x14ac:dyDescent="0.2">
      <c r="A15" s="122" t="s">
        <v>3689</v>
      </c>
      <c r="B15" s="44" t="str">
        <f>IF(LEN(VLOOKUP(A15,'Species List'!$A:$G,2,FALSE))=0,"",VLOOKUP(A15,'Species List'!$A:$G,2,FALSE))</f>
        <v>northern pin oak</v>
      </c>
      <c r="C15" s="44">
        <f>IF(LEN(VLOOKUP(A15,'Species List'!$A:$G,3,FALSE))=0,"",VLOOKUP(A15,'Species List'!$A:$G,3,FALSE))</f>
        <v>5</v>
      </c>
      <c r="D15" s="99">
        <f t="shared" ref="D15:D78" si="4">VALUE(C15)</f>
        <v>5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91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85">
        <f t="shared" si="2"/>
        <v>0.15873015873015872</v>
      </c>
      <c r="O15" s="98">
        <f t="shared" ref="O15:O78" si="6">D15*N15</f>
        <v>0.79365079365079361</v>
      </c>
    </row>
    <row r="16" spans="1:15" x14ac:dyDescent="0.2">
      <c r="A16" s="122" t="s">
        <v>4814</v>
      </c>
      <c r="B16" s="44" t="str">
        <f>IF(LEN(VLOOKUP(A16,'Species List'!$A:$G,2,FALSE))=0,"",VLOOKUP(A16,'Species List'!$A:$G,2,FALSE))</f>
        <v>prickly ash</v>
      </c>
      <c r="C16" s="44">
        <f>IF(LEN(VLOOKUP(A16,'Species List'!$A:$G,3,FALSE))=0,"",VLOOKUP(A16,'Species List'!$A:$G,3,FALSE))</f>
        <v>3</v>
      </c>
      <c r="D16" s="99">
        <f t="shared" si="4"/>
        <v>3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91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85">
        <f t="shared" si="2"/>
        <v>3.1746031746031744E-2</v>
      </c>
      <c r="O16" s="98">
        <f t="shared" si="6"/>
        <v>9.5238095238095233E-2</v>
      </c>
    </row>
    <row r="17" spans="1:15" x14ac:dyDescent="0.2">
      <c r="A17" s="122" t="s">
        <v>3855</v>
      </c>
      <c r="B17" s="44" t="str">
        <f>IF(LEN(VLOOKUP(A17,'Species List'!$A:$G,2,FALSE))=0,"",VLOOKUP(A17,'Species List'!$A:$G,2,FALSE))</f>
        <v>black raspberry</v>
      </c>
      <c r="C17" s="44">
        <f>IF(LEN(VLOOKUP(A17,'Species List'!$A:$G,3,FALSE))=0,"",VLOOKUP(A17,'Species List'!$A:$G,3,FALSE))</f>
        <v>2</v>
      </c>
      <c r="D17" s="99">
        <f t="shared" si="4"/>
        <v>2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91">
        <v>2</v>
      </c>
      <c r="K17" s="47" t="str">
        <f>VLOOKUP(J17,'Species List'!$H$1:$J$9,2,FALSE)</f>
        <v>&gt;5-25%</v>
      </c>
      <c r="L17" s="47">
        <f>VLOOKUP(K17,'Species List'!$I$1:$N$8,2,FALSE)</f>
        <v>15</v>
      </c>
      <c r="M17" s="100">
        <f t="shared" si="5"/>
        <v>15</v>
      </c>
      <c r="N17" s="85">
        <f t="shared" si="2"/>
        <v>0.15873015873015872</v>
      </c>
      <c r="O17" s="98">
        <f t="shared" si="6"/>
        <v>0.31746031746031744</v>
      </c>
    </row>
    <row r="18" spans="1:15" x14ac:dyDescent="0.2">
      <c r="A18" s="122" t="s">
        <v>3836</v>
      </c>
      <c r="B18" s="44" t="str">
        <f>IF(LEN(VLOOKUP(A18,'Species List'!$A:$G,2,FALSE))=0,"",VLOOKUP(A18,'Species List'!$A:$G,2,FALSE))</f>
        <v>Allegheny blackberry</v>
      </c>
      <c r="C18" s="44">
        <f>IF(LEN(VLOOKUP(A18,'Species List'!$A:$G,3,FALSE))=0,"",VLOOKUP(A18,'Species List'!$A:$G,3,FALSE))</f>
        <v>2</v>
      </c>
      <c r="D18" s="99">
        <f t="shared" si="4"/>
        <v>2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[FACU+]</v>
      </c>
      <c r="H18" s="44">
        <f>VLOOKUP(A18,'Species List'!$A:$G,7,FALSE)</f>
        <v>0</v>
      </c>
      <c r="J18" s="91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85">
        <f t="shared" si="2"/>
        <v>3.1746031746031744E-2</v>
      </c>
      <c r="O18" s="98">
        <f t="shared" si="6"/>
        <v>6.3492063492063489E-2</v>
      </c>
    </row>
    <row r="19" spans="1:15" x14ac:dyDescent="0.2">
      <c r="A19" s="122" t="s">
        <v>2963</v>
      </c>
      <c r="B19" s="44" t="str">
        <f>IF(LEN(VLOOKUP(A19,'Species List'!$A:$G,2,FALSE))=0,"",VLOOKUP(A19,'Species List'!$A:$G,2,FALSE))</f>
        <v>white mulberry</v>
      </c>
      <c r="C19" s="44">
        <f>IF(LEN(VLOOKUP(A19,'Species List'!$A:$G,3,FALSE))=0,"",VLOOKUP(A19,'Species List'!$A:$G,3,FALSE))</f>
        <v>0</v>
      </c>
      <c r="D19" s="99">
        <f t="shared" si="4"/>
        <v>0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FAC</v>
      </c>
      <c r="H19" s="44">
        <f>VLOOKUP(A19,'Species List'!$A:$G,7,FALSE)</f>
        <v>0</v>
      </c>
      <c r="J19" s="91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85">
        <f t="shared" si="2"/>
        <v>3.1746031746031744E-2</v>
      </c>
      <c r="O19" s="98">
        <f t="shared" si="6"/>
        <v>0</v>
      </c>
    </row>
    <row r="20" spans="1:15" x14ac:dyDescent="0.2">
      <c r="A20" s="122" t="s">
        <v>3536</v>
      </c>
      <c r="B20" s="44" t="str">
        <f>IF(LEN(VLOOKUP(A20,'Species List'!$A:$G,2,FALSE))=0,"",VLOOKUP(A20,'Species List'!$A:$G,2,FALSE))</f>
        <v>quaking aspen</v>
      </c>
      <c r="C20" s="44">
        <f>IF(LEN(VLOOKUP(A20,'Species List'!$A:$G,3,FALSE))=0,"",VLOOKUP(A20,'Species List'!$A:$G,3,FALSE))</f>
        <v>2</v>
      </c>
      <c r="D20" s="99">
        <f t="shared" si="4"/>
        <v>2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[FAC]</v>
      </c>
      <c r="H20" s="44">
        <f>VLOOKUP(A20,'Species List'!$A:$G,7,FALSE)</f>
        <v>0</v>
      </c>
      <c r="J20" s="91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85">
        <f t="shared" si="2"/>
        <v>3.1746031746031744E-2</v>
      </c>
      <c r="O20" s="98">
        <f t="shared" si="6"/>
        <v>6.3492063492063489E-2</v>
      </c>
    </row>
    <row r="21" spans="1:15" x14ac:dyDescent="0.2">
      <c r="A21" s="122" t="s">
        <v>3654</v>
      </c>
      <c r="B21" s="44" t="str">
        <f>IF(LEN(VLOOKUP(A21,'Species List'!$A:$G,2,FALSE))=0,"",VLOOKUP(A21,'Species List'!$A:$G,2,FALSE))</f>
        <v>black cherry</v>
      </c>
      <c r="C21" s="44">
        <f>IF(LEN(VLOOKUP(A21,'Species List'!$A:$G,3,FALSE))=0,"",VLOOKUP(A21,'Species List'!$A:$G,3,FALSE))</f>
        <v>4</v>
      </c>
      <c r="D21" s="99">
        <f t="shared" si="4"/>
        <v>4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[FACU]</v>
      </c>
      <c r="H21" s="44">
        <f>VLOOKUP(A21,'Species List'!$A:$G,7,FALSE)</f>
        <v>0</v>
      </c>
      <c r="J21" s="91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85">
        <f t="shared" si="2"/>
        <v>3.1746031746031744E-2</v>
      </c>
      <c r="O21" s="98">
        <f t="shared" si="6"/>
        <v>0.12698412698412698</v>
      </c>
    </row>
    <row r="22" spans="1:15" x14ac:dyDescent="0.2">
      <c r="A22" s="122" t="s">
        <v>3848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3</v>
      </c>
      <c r="D22" s="99">
        <f t="shared" si="4"/>
        <v>3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91">
        <v>2</v>
      </c>
      <c r="K22" s="47" t="str">
        <f>VLOOKUP(J22,'Species List'!$H$1:$J$9,2,FALSE)</f>
        <v>&gt;5-25%</v>
      </c>
      <c r="L22" s="47">
        <f>VLOOKUP(K22,'Species List'!$I$1:$N$8,2,FALSE)</f>
        <v>15</v>
      </c>
      <c r="M22" s="100">
        <f t="shared" si="5"/>
        <v>15</v>
      </c>
      <c r="N22" s="85">
        <f t="shared" si="2"/>
        <v>0.15873015873015872</v>
      </c>
      <c r="O22" s="98">
        <f t="shared" si="6"/>
        <v>0.47619047619047616</v>
      </c>
    </row>
    <row r="23" spans="1:15" x14ac:dyDescent="0.2">
      <c r="A23" s="122" t="s">
        <v>5438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3</v>
      </c>
      <c r="D23" s="99">
        <f t="shared" si="4"/>
        <v>3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91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85">
        <f t="shared" si="2"/>
        <v>3.1746031746031744E-2</v>
      </c>
      <c r="O23" s="98">
        <f t="shared" si="6"/>
        <v>9.5238095238095233E-2</v>
      </c>
    </row>
    <row r="24" spans="1:15" x14ac:dyDescent="0.2">
      <c r="A24" s="122" t="s">
        <v>3762</v>
      </c>
      <c r="B24" s="44" t="str">
        <f>IF(LEN(VLOOKUP(A24,'Species List'!$A:$G,2,FALSE))=0,"",VLOOKUP(A24,'Species List'!$A:$G,2,FALSE))</f>
        <v>smooth sumac</v>
      </c>
      <c r="C24" s="44">
        <f>IF(LEN(VLOOKUP(A24,'Species List'!$A:$G,3,FALSE))=0,"",VLOOKUP(A24,'Species List'!$A:$G,3,FALSE))</f>
        <v>2</v>
      </c>
      <c r="D24" s="99">
        <f t="shared" si="4"/>
        <v>2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/>
      </c>
      <c r="H24" s="44">
        <f>VLOOKUP(A24,'Species List'!$A:$G,7,FALSE)</f>
        <v>0</v>
      </c>
      <c r="J24" s="91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85">
        <f t="shared" si="2"/>
        <v>3.1746031746031744E-2</v>
      </c>
      <c r="O24" s="98">
        <f t="shared" si="6"/>
        <v>6.3492063492063489E-2</v>
      </c>
    </row>
    <row r="25" spans="1:15" x14ac:dyDescent="0.2">
      <c r="A25" s="122" t="s">
        <v>3755</v>
      </c>
      <c r="B25" s="44" t="str">
        <f>IF(LEN(VLOOKUP(A25,'Species List'!$A:$G,2,FALSE))=0,"",VLOOKUP(A25,'Species List'!$A:$G,2,FALSE))</f>
        <v>common buckthorn</v>
      </c>
      <c r="C25" s="44">
        <f>IF(LEN(VLOOKUP(A25,'Species List'!$A:$G,3,FALSE))=0,"",VLOOKUP(A25,'Species List'!$A:$G,3,FALSE))</f>
        <v>0</v>
      </c>
      <c r="D25" s="99">
        <f t="shared" si="4"/>
        <v>0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Introduced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91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85">
        <f t="shared" si="2"/>
        <v>3.1746031746031744E-2</v>
      </c>
      <c r="O25" s="98">
        <f t="shared" si="6"/>
        <v>0</v>
      </c>
    </row>
    <row r="26" spans="1:15" x14ac:dyDescent="0.2">
      <c r="A26" s="122" t="s">
        <v>159</v>
      </c>
      <c r="B26" s="44" t="str">
        <f>IF(LEN(VLOOKUP(A26,'Species List'!$A:$G,2,FALSE))=0,"",VLOOKUP(A26,'Species List'!$A:$G,2,FALSE))</f>
        <v>amur maple</v>
      </c>
      <c r="C26" s="44">
        <f>IF(LEN(VLOOKUP(A26,'Species List'!$A:$G,3,FALSE))=0,"",VLOOKUP(A26,'Species List'!$A:$G,3,FALSE))</f>
        <v>0</v>
      </c>
      <c r="D26" s="99">
        <f t="shared" si="4"/>
        <v>0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91" t="s">
        <v>5409</v>
      </c>
      <c r="K26" s="47" t="str">
        <f>VLOOKUP(J26,'Species List'!$H$1:$J$9,2,FALSE)</f>
        <v>&gt;0-1%</v>
      </c>
      <c r="L26" s="47">
        <f>VLOOKUP(K26,'Species List'!$I$1:$N$8,2,FALSE)</f>
        <v>0.5</v>
      </c>
      <c r="M26" s="100">
        <f t="shared" si="5"/>
        <v>0.5</v>
      </c>
      <c r="N26" s="85">
        <f t="shared" si="2"/>
        <v>5.2910052910052907E-3</v>
      </c>
      <c r="O26" s="98">
        <f t="shared" si="6"/>
        <v>0</v>
      </c>
    </row>
    <row r="27" spans="1:15" x14ac:dyDescent="0.2">
      <c r="A27" s="122" t="s">
        <v>5443</v>
      </c>
      <c r="B27" s="44" t="e">
        <f>IF(LEN(VLOOKUP(A27,'Species List'!$A:$G,2,FALSE))=0,"",VLOOKUP(A27,'Species List'!$A:$G,2,FALSE))</f>
        <v>#N/A</v>
      </c>
      <c r="C27" s="44">
        <v>0</v>
      </c>
      <c r="D27" s="99">
        <f t="shared" si="4"/>
        <v>0</v>
      </c>
      <c r="E27" s="44" t="s">
        <v>157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 t="s">
        <v>5409</v>
      </c>
      <c r="K27" s="47" t="str">
        <f>VLOOKUP(J27,'Species List'!$H$1:$J$9,2,FALSE)</f>
        <v>&gt;0-1%</v>
      </c>
      <c r="L27" s="47">
        <f>VLOOKUP(K27,'Species List'!$I$1:$N$8,2,FALSE)</f>
        <v>0.5</v>
      </c>
      <c r="M27" s="100">
        <f t="shared" si="5"/>
        <v>0.5</v>
      </c>
      <c r="N27" s="85">
        <f t="shared" si="2"/>
        <v>5.2910052910052907E-3</v>
      </c>
      <c r="O27" s="98">
        <f t="shared" si="6"/>
        <v>0</v>
      </c>
    </row>
    <row r="28" spans="1:15" x14ac:dyDescent="0.2">
      <c r="A28" s="122" t="s">
        <v>4765</v>
      </c>
      <c r="B28" s="44" t="str">
        <f>IF(LEN(VLOOKUP(A28,'Species List'!$A:$G,2,FALSE))=0,"",VLOOKUP(A28,'Species List'!$A:$G,2,FALSE))</f>
        <v>wild grape</v>
      </c>
      <c r="C28" s="44">
        <f>IF(LEN(VLOOKUP(A28,'Species List'!$A:$G,3,FALSE))=0,"",VLOOKUP(A28,'Species List'!$A:$G,3,FALSE))</f>
        <v>2</v>
      </c>
      <c r="D28" s="99">
        <f t="shared" si="4"/>
        <v>2</v>
      </c>
      <c r="E28" s="44" t="str">
        <f>IF(LEN(VLOOKUP(A28,'Species List'!$A:$G,4,FALSE))=0,"",VLOOKUP(A28,'Species List'!$A:$G,4,FALSE))</f>
        <v>C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FACW-</v>
      </c>
      <c r="H28" s="44">
        <f>VLOOKUP(A28,'Species List'!$A:$G,7,FALSE)</f>
        <v>0</v>
      </c>
      <c r="J28" s="91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85">
        <f t="shared" si="2"/>
        <v>3.1746031746031744E-2</v>
      </c>
      <c r="O28" s="98">
        <f t="shared" si="6"/>
        <v>6.3492063492063489E-2</v>
      </c>
    </row>
    <row r="29" spans="1:15" x14ac:dyDescent="0.2">
      <c r="A29" s="121" t="s">
        <v>5446</v>
      </c>
      <c r="B29" s="44" t="e">
        <f>IF(LEN(VLOOKUP(A29,'Species List'!$A:$G,2,FALSE))=0,"",VLOOKUP(A29,'Species List'!$A:$G,2,FALSE))</f>
        <v>#N/A</v>
      </c>
      <c r="C29" s="44">
        <v>2</v>
      </c>
      <c r="D29" s="99">
        <f t="shared" si="4"/>
        <v>2</v>
      </c>
      <c r="E29" s="44" t="s">
        <v>1244</v>
      </c>
      <c r="F29" s="44" t="s">
        <v>147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 t="s">
        <v>5409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100">
        <f t="shared" si="5"/>
        <v>0.5</v>
      </c>
      <c r="N29" s="85">
        <f t="shared" si="2"/>
        <v>5.2910052910052907E-3</v>
      </c>
      <c r="O29" s="98">
        <f t="shared" si="6"/>
        <v>1.0582010582010581E-2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7" t="s">
        <v>5376</v>
      </c>
      <c r="J153" s="148"/>
      <c r="K153" s="149"/>
      <c r="L153" s="63">
        <f>SUMIF(L12:L152,"&gt;=0")</f>
        <v>94.5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6"/>
      <c r="C7" s="146"/>
      <c r="D7" s="146"/>
      <c r="E7" s="14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4" customFormat="1" ht="14.25" thickTop="1" thickBot="1" x14ac:dyDescent="0.25">
      <c r="A10" s="45" t="s">
        <v>5447</v>
      </c>
      <c r="B10" s="151"/>
      <c r="C10" s="151"/>
      <c r="D10" s="151"/>
      <c r="E10" s="151"/>
      <c r="F10" s="151"/>
      <c r="G10" s="151"/>
      <c r="H10" s="151"/>
      <c r="I10" s="152"/>
      <c r="J10" s="151"/>
      <c r="K10" s="151"/>
      <c r="L10" s="151"/>
      <c r="M10" s="151"/>
      <c r="N10" s="153"/>
      <c r="O10" s="153"/>
    </row>
    <row r="11" spans="1:15" s="124" customFormat="1" ht="13.5" thickTop="1" x14ac:dyDescent="0.2">
      <c r="A11" s="151"/>
      <c r="B11" s="151"/>
      <c r="C11" s="151"/>
      <c r="D11" s="151"/>
      <c r="E11" s="151"/>
      <c r="F11" s="151"/>
      <c r="G11" s="151"/>
      <c r="H11" s="151"/>
      <c r="I11" s="152"/>
      <c r="J11" s="151"/>
      <c r="K11" s="151"/>
      <c r="L11" s="151"/>
      <c r="M11" s="151"/>
      <c r="N11" s="153"/>
      <c r="O11" s="153"/>
    </row>
    <row r="12" spans="1:15" x14ac:dyDescent="0.2">
      <c r="A12" s="122" t="s">
        <v>1374</v>
      </c>
      <c r="B12" s="44" t="str">
        <f>IF(LEN(VLOOKUP(A12,'Species List'!$A:$G,2,FALSE))=0,"",VLOOKUP(A12,'Species List'!$A:$G,2,FALSE))</f>
        <v>field thistle</v>
      </c>
      <c r="C12" s="44">
        <f>IF(LEN(VLOOKUP(A12,'Species List'!$A:$G,3,FALSE))=0,"",VLOOKUP(A12,'Species List'!$A:$G,3,FALSE))</f>
        <v>4</v>
      </c>
      <c r="D12" s="99">
        <f t="shared" ref="D12:D13" si="0">VALUE(C12)</f>
        <v>4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3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4" si="1">VALUE(L12)</f>
        <v>3</v>
      </c>
      <c r="N12" s="107">
        <f t="shared" ref="N12:N13" si="2">L12/$L$153</f>
        <v>2.5210084033613446E-2</v>
      </c>
      <c r="O12" s="107">
        <f t="shared" ref="O12:O13" si="3">D12*N12</f>
        <v>0.10084033613445378</v>
      </c>
    </row>
    <row r="13" spans="1:15" x14ac:dyDescent="0.2">
      <c r="A13" s="122" t="s">
        <v>2946</v>
      </c>
      <c r="B13" s="44" t="str">
        <f>IF(LEN(VLOOKUP(A13,'Species List'!$A:$G,2,FALSE))=0,"",VLOOKUP(A13,'Species List'!$A:$G,2,FALSE))</f>
        <v>wild bergamot</v>
      </c>
      <c r="C13" s="44">
        <f>IF(LEN(VLOOKUP(A13,'Species List'!$A:$G,3,FALSE))=0,"",VLOOKUP(A13,'Species List'!$A:$G,3,FALSE))</f>
        <v>3</v>
      </c>
      <c r="D13" s="99">
        <f t="shared" si="0"/>
        <v>3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23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7">
        <f t="shared" si="2"/>
        <v>2.5210084033613446E-2</v>
      </c>
      <c r="O13" s="107">
        <f t="shared" si="3"/>
        <v>7.5630252100840345E-2</v>
      </c>
    </row>
    <row r="14" spans="1:15" x14ac:dyDescent="0.2">
      <c r="A14" s="122" t="s">
        <v>2679</v>
      </c>
      <c r="B14" s="44" t="str">
        <f>IF(LEN(VLOOKUP(A14,'Species List'!$A:$G,2,FALSE))=0,"",VLOOKUP(A14,'Species List'!$A:$G,2,FALSE))</f>
        <v>butter-and-eggs</v>
      </c>
      <c r="C14" s="44">
        <f>IF(LEN(VLOOKUP(A14,'Species List'!$A:$G,3,FALSE))=0,"",VLOOKUP(A14,'Species List'!$A:$G,3,FALSE))</f>
        <v>0</v>
      </c>
      <c r="D14" s="99">
        <f>VALUE(C14)</f>
        <v>0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23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 t="shared" si="1"/>
        <v>15</v>
      </c>
      <c r="N14" s="85">
        <f>L14/$L$153</f>
        <v>0.12605042016806722</v>
      </c>
      <c r="O14" s="85">
        <f>D14*N14</f>
        <v>0</v>
      </c>
    </row>
    <row r="15" spans="1:15" x14ac:dyDescent="0.2">
      <c r="A15" s="122" t="s">
        <v>1372</v>
      </c>
      <c r="B15" s="44" t="str">
        <f>IF(LEN(VLOOKUP(A15,'Species List'!$A:$G,2,FALSE))=0,"",VLOOKUP(A15,'Species List'!$A:$G,2,FALSE))</f>
        <v>Canada thistle</v>
      </c>
      <c r="C15" s="44">
        <f>IF(LEN(VLOOKUP(A15,'Species List'!$A:$G,3,FALSE))=0,"",VLOOKUP(A15,'Species List'!$A:$G,3,FALSE))</f>
        <v>0</v>
      </c>
      <c r="D15" s="99">
        <f t="shared" ref="D15:D78" si="4">VALUE(C15)</f>
        <v>0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3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2.5210084033613446E-2</v>
      </c>
      <c r="O15" s="98">
        <f t="shared" ref="O15:O78" si="7">D15*N15</f>
        <v>0</v>
      </c>
    </row>
    <row r="16" spans="1:15" x14ac:dyDescent="0.2">
      <c r="A16" s="122" t="s">
        <v>4466</v>
      </c>
      <c r="B16" s="44" t="str">
        <f>IF(LEN(VLOOKUP(A16,'Species List'!$A:$G,2,FALSE))=0,"",VLOOKUP(A16,'Species List'!$A:$G,2,FALSE))</f>
        <v>common dandelion</v>
      </c>
      <c r="C16" s="44">
        <f>IF(LEN(VLOOKUP(A16,'Species List'!$A:$G,3,FALSE))=0,"",VLOOKUP(A16,'Species List'!$A:$G,3,FALSE))</f>
        <v>0</v>
      </c>
      <c r="D16" s="99">
        <f t="shared" si="4"/>
        <v>0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23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2.5210084033613446E-2</v>
      </c>
      <c r="O16" s="98">
        <f t="shared" si="7"/>
        <v>0</v>
      </c>
    </row>
    <row r="17" spans="1:15" x14ac:dyDescent="0.2">
      <c r="A17" s="122" t="s">
        <v>4210</v>
      </c>
      <c r="B17" s="44" t="str">
        <f>IF(LEN(VLOOKUP(A17,'Species List'!$A:$G,2,FALSE))=0,"",VLOOKUP(A17,'Species List'!$A:$G,2,FALSE))</f>
        <v>late goldenrod</v>
      </c>
      <c r="C17" s="44">
        <f>IF(LEN(VLOOKUP(A17,'Species List'!$A:$G,3,FALSE))=0,"",VLOOKUP(A17,'Species List'!$A:$G,3,FALSE))</f>
        <v>1</v>
      </c>
      <c r="D17" s="99">
        <f t="shared" si="4"/>
        <v>1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23">
        <v>2</v>
      </c>
      <c r="K17" s="47" t="str">
        <f>VLOOKUP(J17,'Species List'!$H$1:$J$9,2,FALSE)</f>
        <v>&gt;5-25%</v>
      </c>
      <c r="L17" s="47">
        <f>VLOOKUP(K17,'Species List'!$I$1:$N$8,2,FALSE)</f>
        <v>15</v>
      </c>
      <c r="M17" s="100">
        <f t="shared" si="5"/>
        <v>15</v>
      </c>
      <c r="N17" s="98">
        <f t="shared" si="6"/>
        <v>0.12605042016806722</v>
      </c>
      <c r="O17" s="98">
        <f t="shared" si="7"/>
        <v>0.12605042016806722</v>
      </c>
    </row>
    <row r="18" spans="1:15" x14ac:dyDescent="0.2">
      <c r="A18" s="122" t="s">
        <v>4243</v>
      </c>
      <c r="B18" s="44" t="str">
        <f>IF(LEN(VLOOKUP(A18,'Species List'!$A:$G,2,FALSE))=0,"",VLOOKUP(A18,'Species List'!$A:$G,2,FALSE))</f>
        <v>showy goldenrod</v>
      </c>
      <c r="C18" s="44">
        <f>IF(LEN(VLOOKUP(A18,'Species List'!$A:$G,3,FALSE))=0,"",VLOOKUP(A18,'Species List'!$A:$G,3,FALSE))</f>
        <v>5</v>
      </c>
      <c r="D18" s="99">
        <f t="shared" si="4"/>
        <v>5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23">
        <v>2</v>
      </c>
      <c r="K18" s="47" t="str">
        <f>VLOOKUP(J18,'Species List'!$H$1:$J$9,2,FALSE)</f>
        <v>&gt;5-25%</v>
      </c>
      <c r="L18" s="47">
        <f>VLOOKUP(K18,'Species List'!$I$1:$N$8,2,FALSE)</f>
        <v>15</v>
      </c>
      <c r="M18" s="100">
        <f t="shared" si="5"/>
        <v>15</v>
      </c>
      <c r="N18" s="98">
        <f t="shared" si="6"/>
        <v>0.12605042016806722</v>
      </c>
      <c r="O18" s="98">
        <f t="shared" si="7"/>
        <v>0.63025210084033612</v>
      </c>
    </row>
    <row r="19" spans="1:15" x14ac:dyDescent="0.2">
      <c r="A19" s="122" t="s">
        <v>4219</v>
      </c>
      <c r="B19" s="44" t="str">
        <f>IF(LEN(VLOOKUP(A19,'Species List'!$A:$G,2,FALSE))=0,"",VLOOKUP(A19,'Species List'!$A:$G,2,FALSE))</f>
        <v>giant goldenrod</v>
      </c>
      <c r="C19" s="44">
        <f>IF(LEN(VLOOKUP(A19,'Species List'!$A:$G,3,FALSE))=0,"",VLOOKUP(A19,'Species List'!$A:$G,3,FALSE))</f>
        <v>3</v>
      </c>
      <c r="D19" s="99">
        <f t="shared" si="4"/>
        <v>3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</v>
      </c>
      <c r="H19" s="44">
        <f>VLOOKUP(A19,'Species List'!$A:$G,7,FALSE)</f>
        <v>0</v>
      </c>
      <c r="J19" s="123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2.5210084033613446E-2</v>
      </c>
      <c r="O19" s="98">
        <f t="shared" si="7"/>
        <v>7.5630252100840345E-2</v>
      </c>
    </row>
    <row r="20" spans="1:15" x14ac:dyDescent="0.2">
      <c r="A20" s="122" t="s">
        <v>1514</v>
      </c>
      <c r="B20" s="44" t="str">
        <f>IF(LEN(VLOOKUP(A20,'Species List'!$A:$G,2,FALSE))=0,"",VLOOKUP(A20,'Species List'!$A:$G,2,FALSE))</f>
        <v>rattlebox</v>
      </c>
      <c r="C20" s="44">
        <f>IF(LEN(VLOOKUP(A20,'Species List'!$A:$G,3,FALSE))=0,"",VLOOKUP(A20,'Species List'!$A:$G,3,FALSE))</f>
        <v>3</v>
      </c>
      <c r="D20" s="99">
        <f t="shared" si="4"/>
        <v>3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 t="str">
        <f>VLOOKUP(A20,'Species List'!$A:$G,7,FALSE)</f>
        <v>SC</v>
      </c>
      <c r="J20" s="123">
        <v>1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2.5210084033613446E-2</v>
      </c>
      <c r="O20" s="98">
        <f t="shared" si="7"/>
        <v>7.5630252100840345E-2</v>
      </c>
    </row>
    <row r="21" spans="1:15" x14ac:dyDescent="0.2">
      <c r="A21" s="122" t="s">
        <v>3660</v>
      </c>
      <c r="B21" s="44" t="str">
        <f>IF(LEN(VLOOKUP(A21,'Species List'!$A:$G,2,FALSE))=0,"",VLOOKUP(A21,'Species List'!$A:$G,2,FALSE))</f>
        <v>sweet everlasting</v>
      </c>
      <c r="C21" s="44">
        <f>IF(LEN(VLOOKUP(A21,'Species List'!$A:$G,3,FALSE))=0,"",VLOOKUP(A21,'Species List'!$A:$G,3,FALSE))</f>
        <v>3</v>
      </c>
      <c r="D21" s="99">
        <f t="shared" si="4"/>
        <v>3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23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2.5210084033613446E-2</v>
      </c>
      <c r="O21" s="98">
        <f t="shared" si="7"/>
        <v>7.5630252100840345E-2</v>
      </c>
    </row>
    <row r="22" spans="1:15" x14ac:dyDescent="0.2">
      <c r="A22" s="122" t="s">
        <v>4237</v>
      </c>
      <c r="B22" s="44" t="str">
        <f>IF(LEN(VLOOKUP(A22,'Species List'!$A:$G,2,FALSE))=0,"",VLOOKUP(A22,'Species List'!$A:$G,2,FALSE))</f>
        <v>stiff goldenrod</v>
      </c>
      <c r="C22" s="44">
        <f>IF(LEN(VLOOKUP(A22,'Species List'!$A:$G,3,FALSE))=0,"",VLOOKUP(A22,'Species List'!$A:$G,3,FALSE))</f>
        <v>5</v>
      </c>
      <c r="D22" s="99">
        <f t="shared" si="4"/>
        <v>5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23" t="s">
        <v>5409</v>
      </c>
      <c r="K22" s="47" t="str">
        <f>VLOOKUP(J22,'Species List'!$H$1:$J$9,2,FALSE)</f>
        <v>&gt;0-1%</v>
      </c>
      <c r="L22" s="47">
        <f>VLOOKUP(K22,'Species List'!$I$1:$N$8,2,FALSE)</f>
        <v>0.5</v>
      </c>
      <c r="M22" s="100">
        <f t="shared" si="5"/>
        <v>0.5</v>
      </c>
      <c r="N22" s="98">
        <f t="shared" si="6"/>
        <v>4.2016806722689074E-3</v>
      </c>
      <c r="O22" s="98">
        <f t="shared" si="7"/>
        <v>2.1008403361344536E-2</v>
      </c>
    </row>
    <row r="23" spans="1:15" x14ac:dyDescent="0.2">
      <c r="A23" s="122" t="s">
        <v>186</v>
      </c>
      <c r="B23" s="44" t="str">
        <f>IF(LEN(VLOOKUP(A23,'Species List'!$A:$G,2,FALSE))=0,"",VLOOKUP(A23,'Species List'!$A:$G,2,FALSE))</f>
        <v>common yarrow</v>
      </c>
      <c r="C23" s="44">
        <f>IF(LEN(VLOOKUP(A23,'Species List'!$A:$G,3,FALSE))=0,"",VLOOKUP(A23,'Species List'!$A:$G,3,FALSE))</f>
        <v>1</v>
      </c>
      <c r="D23" s="99">
        <f t="shared" si="4"/>
        <v>1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23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2.5210084033613446E-2</v>
      </c>
      <c r="O23" s="98">
        <f t="shared" si="7"/>
        <v>2.5210084033613446E-2</v>
      </c>
    </row>
    <row r="24" spans="1:15" x14ac:dyDescent="0.2">
      <c r="A24" s="122" t="s">
        <v>2186</v>
      </c>
      <c r="B24" s="44" t="str">
        <f>IF(LEN(VLOOKUP(A24,'Species List'!$A:$G,2,FALSE))=0,"",VLOOKUP(A24,'Species List'!$A:$G,2,FALSE))</f>
        <v/>
      </c>
      <c r="C24" s="44">
        <f>IF(LEN(VLOOKUP(A24,'Species List'!$A:$G,3,FALSE))=0,"",VLOOKUP(A24,'Species List'!$A:$G,3,FALSE))</f>
        <v>4</v>
      </c>
      <c r="D24" s="99">
        <f t="shared" si="4"/>
        <v>4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FACU+</v>
      </c>
      <c r="H24" s="44">
        <f>VLOOKUP(A24,'Species List'!$A:$G,7,FALSE)</f>
        <v>0</v>
      </c>
      <c r="J24" s="123" t="s">
        <v>5409</v>
      </c>
      <c r="K24" s="47" t="str">
        <f>VLOOKUP(J24,'Species List'!$H$1:$J$9,2,FALSE)</f>
        <v>&gt;0-1%</v>
      </c>
      <c r="L24" s="47">
        <f>VLOOKUP(K24,'Species List'!$I$1:$N$8,2,FALSE)</f>
        <v>0.5</v>
      </c>
      <c r="M24" s="100">
        <f t="shared" si="5"/>
        <v>0.5</v>
      </c>
      <c r="N24" s="98">
        <f t="shared" si="6"/>
        <v>4.2016806722689074E-3</v>
      </c>
      <c r="O24" s="98">
        <f t="shared" si="7"/>
        <v>1.680672268907563E-2</v>
      </c>
    </row>
    <row r="25" spans="1:15" x14ac:dyDescent="0.2">
      <c r="A25" s="122" t="s">
        <v>2240</v>
      </c>
      <c r="B25" s="44" t="str">
        <f>IF(LEN(VLOOKUP(A25,'Species List'!$A:$G,2,FALSE))=0,"",VLOOKUP(A25,'Species List'!$A:$G,2,FALSE))</f>
        <v>white avens</v>
      </c>
      <c r="C25" s="44">
        <f>IF(LEN(VLOOKUP(A25,'Species List'!$A:$G,3,FALSE))=0,"",VLOOKUP(A25,'Species List'!$A:$G,3,FALSE))</f>
        <v>2</v>
      </c>
      <c r="D25" s="99">
        <f t="shared" si="4"/>
        <v>2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</v>
      </c>
      <c r="H25" s="44">
        <f>VLOOKUP(A25,'Species List'!$A:$G,7,FALSE)</f>
        <v>0</v>
      </c>
      <c r="J25" s="123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2.5210084033613446E-2</v>
      </c>
      <c r="O25" s="98">
        <f t="shared" si="7"/>
        <v>5.0420168067226892E-2</v>
      </c>
    </row>
    <row r="26" spans="1:15" x14ac:dyDescent="0.2">
      <c r="A26" s="122" t="s">
        <v>3895</v>
      </c>
      <c r="B26" s="44" t="str">
        <f>IF(LEN(VLOOKUP(A26,'Species List'!$A:$G,2,FALSE))=0,"",VLOOKUP(A26,'Species List'!$A:$G,2,FALSE))</f>
        <v>common sheep sorrel</v>
      </c>
      <c r="C26" s="44">
        <f>IF(LEN(VLOOKUP(A26,'Species List'!$A:$G,3,FALSE))=0,"",VLOOKUP(A26,'Species List'!$A:$G,3,FALSE))</f>
        <v>0</v>
      </c>
      <c r="D26" s="99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>FAC</v>
      </c>
      <c r="H26" s="44">
        <f>VLOOKUP(A26,'Species List'!$A:$G,7,FALSE)</f>
        <v>0</v>
      </c>
      <c r="J26" s="123">
        <v>1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2.5210084033613446E-2</v>
      </c>
      <c r="O26" s="98">
        <f t="shared" si="7"/>
        <v>0</v>
      </c>
    </row>
    <row r="27" spans="1:15" x14ac:dyDescent="0.2">
      <c r="A27" s="122" t="s">
        <v>1419</v>
      </c>
      <c r="B27" s="44" t="str">
        <f>IF(LEN(VLOOKUP(A27,'Species List'!$A:$G,2,FALSE))=0,"",VLOOKUP(A27,'Species List'!$A:$G,2,FALSE))</f>
        <v>horseweed</v>
      </c>
      <c r="C27" s="44">
        <f>IF(LEN(VLOOKUP(A27,'Species List'!$A:$G,3,FALSE))=0,"",VLOOKUP(A27,'Species List'!$A:$G,3,FALSE))</f>
        <v>0</v>
      </c>
      <c r="D27" s="99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[FAC-]</v>
      </c>
      <c r="H27" s="44">
        <f>VLOOKUP(A27,'Species List'!$A:$G,7,FALSE)</f>
        <v>0</v>
      </c>
      <c r="J27" s="123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2.5210084033613446E-2</v>
      </c>
      <c r="O27" s="98">
        <f t="shared" si="7"/>
        <v>0</v>
      </c>
    </row>
    <row r="28" spans="1:15" x14ac:dyDescent="0.2">
      <c r="A28" s="122" t="s">
        <v>4409</v>
      </c>
      <c r="B28" s="44" t="str">
        <f>IF(LEN(VLOOKUP(A28,'Species List'!$A:$G,2,FALSE))=0,"",VLOOKUP(A28,'Species List'!$A:$G,2,FALSE))</f>
        <v>smooth blue aster</v>
      </c>
      <c r="C28" s="44">
        <f>IF(LEN(VLOOKUP(A28,'Species List'!$A:$G,3,FALSE))=0,"",VLOOKUP(A28,'Species List'!$A:$G,3,FALSE))</f>
        <v>6</v>
      </c>
      <c r="D28" s="99">
        <f t="shared" si="4"/>
        <v>6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123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2.5210084033613446E-2</v>
      </c>
      <c r="O28" s="98">
        <f t="shared" si="7"/>
        <v>0.15126050420168069</v>
      </c>
    </row>
    <row r="29" spans="1:15" x14ac:dyDescent="0.2">
      <c r="A29" s="122" t="s">
        <v>3879</v>
      </c>
      <c r="B29" s="44" t="str">
        <f>IF(LEN(VLOOKUP(A29,'Species List'!$A:$G,2,FALSE))=0,"",VLOOKUP(A29,'Species List'!$A:$G,2,FALSE))</f>
        <v>black-eyed susan</v>
      </c>
      <c r="C29" s="44">
        <f>IF(LEN(VLOOKUP(A29,'Species List'!$A:$G,3,FALSE))=0,"",VLOOKUP(A29,'Species List'!$A:$G,3,FALSE))</f>
        <v>4</v>
      </c>
      <c r="D29" s="99">
        <f t="shared" si="4"/>
        <v>4</v>
      </c>
      <c r="E29" s="44" t="str">
        <f>IF(LEN(VLOOKUP(A29,'Species List'!$A:$G,4,FALSE))=0,"",VLOOKUP(A29,'Species List'!$A:$G,4,FALSE))</f>
        <v/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23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2.5210084033613446E-2</v>
      </c>
      <c r="O29" s="98">
        <f t="shared" si="7"/>
        <v>0.10084033613445378</v>
      </c>
    </row>
    <row r="30" spans="1:15" x14ac:dyDescent="0.2">
      <c r="A30" s="122" t="s">
        <v>2131</v>
      </c>
      <c r="B30" s="44" t="str">
        <f>IF(LEN(VLOOKUP(A30,'Species List'!$A:$G,2,FALSE))=0,"",VLOOKUP(A30,'Species List'!$A:$G,2,FALSE))</f>
        <v/>
      </c>
      <c r="C30" s="44">
        <f>IF(LEN(VLOOKUP(A30,'Species List'!$A:$G,3,FALSE))=0,"",VLOOKUP(A30,'Species List'!$A:$G,3,FALSE))</f>
        <v>3</v>
      </c>
      <c r="D30" s="99">
        <f t="shared" si="4"/>
        <v>3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UPL</v>
      </c>
      <c r="H30" s="44">
        <f>VLOOKUP(A30,'Species List'!$A:$G,7,FALSE)</f>
        <v>0</v>
      </c>
      <c r="J30" s="123">
        <v>1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2.5210084033613446E-2</v>
      </c>
      <c r="O30" s="98">
        <f t="shared" si="7"/>
        <v>7.5630252100840345E-2</v>
      </c>
    </row>
    <row r="31" spans="1:15" x14ac:dyDescent="0.2">
      <c r="A31" s="122" t="s">
        <v>2135</v>
      </c>
      <c r="B31" s="44" t="str">
        <f>IF(LEN(VLOOKUP(A31,'Species List'!$A:$G,2,FALSE))=0,"",VLOOKUP(A31,'Species List'!$A:$G,2,FALSE))</f>
        <v>common strawberry</v>
      </c>
      <c r="C31" s="44">
        <f>IF(LEN(VLOOKUP(A31,'Species List'!$A:$G,3,FALSE))=0,"",VLOOKUP(A31,'Species List'!$A:$G,3,FALSE))</f>
        <v>2</v>
      </c>
      <c r="D31" s="99">
        <f t="shared" si="4"/>
        <v>2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FAC-</v>
      </c>
      <c r="H31" s="44">
        <f>VLOOKUP(A31,'Species List'!$A:$G,7,FALSE)</f>
        <v>0</v>
      </c>
      <c r="J31" s="123">
        <v>1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2.5210084033613446E-2</v>
      </c>
      <c r="O31" s="98">
        <f t="shared" si="7"/>
        <v>5.0420168067226892E-2</v>
      </c>
    </row>
    <row r="32" spans="1:15" x14ac:dyDescent="0.2">
      <c r="A32" s="122" t="s">
        <v>2649</v>
      </c>
      <c r="B32" s="44" t="str">
        <f>IF(LEN(VLOOKUP(A32,'Species List'!$A:$G,2,FALSE))=0,"",VLOOKUP(A32,'Species List'!$A:$G,2,FALSE))</f>
        <v>round-headed bush clover</v>
      </c>
      <c r="C32" s="44">
        <f>IF(LEN(VLOOKUP(A32,'Species List'!$A:$G,3,FALSE))=0,"",VLOOKUP(A32,'Species List'!$A:$G,3,FALSE))</f>
        <v>3</v>
      </c>
      <c r="D32" s="99">
        <f t="shared" si="4"/>
        <v>3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FACU</v>
      </c>
      <c r="H32" s="44">
        <f>VLOOKUP(A32,'Species List'!$A:$G,7,FALSE)</f>
        <v>0</v>
      </c>
      <c r="J32" s="123" t="s">
        <v>5407</v>
      </c>
      <c r="K32" s="47" t="str">
        <f>VLOOKUP(J32,'Species List'!$H$1:$J$9,2,FALSE)</f>
        <v>&gt;1-5%</v>
      </c>
      <c r="L32" s="47">
        <f>VLOOKUP(K32,'Species List'!$I$1:$N$8,2,FALSE)</f>
        <v>3</v>
      </c>
      <c r="M32" s="100">
        <f t="shared" si="5"/>
        <v>3</v>
      </c>
      <c r="N32" s="98">
        <f t="shared" si="6"/>
        <v>2.5210084033613446E-2</v>
      </c>
      <c r="O32" s="98">
        <f t="shared" si="7"/>
        <v>7.5630252100840345E-2</v>
      </c>
    </row>
    <row r="33" spans="1:15" x14ac:dyDescent="0.2">
      <c r="A33" s="122" t="s">
        <v>1994</v>
      </c>
      <c r="B33" s="44" t="str">
        <f>IF(LEN(VLOOKUP(A33,'Species List'!$A:$G,2,FALSE))=0,"",VLOOKUP(A33,'Species List'!$A:$G,2,FALSE))</f>
        <v>daisy fleabane</v>
      </c>
      <c r="C33" s="44">
        <f>IF(LEN(VLOOKUP(A33,'Species List'!$A:$G,3,FALSE))=0,"",VLOOKUP(A33,'Species List'!$A:$G,3,FALSE))</f>
        <v>2</v>
      </c>
      <c r="D33" s="99">
        <f t="shared" si="4"/>
        <v>2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FAC-</v>
      </c>
      <c r="H33" s="44">
        <f>VLOOKUP(A33,'Species List'!$A:$G,7,FALSE)</f>
        <v>0</v>
      </c>
      <c r="J33" s="123" t="s">
        <v>5407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98">
        <f t="shared" si="6"/>
        <v>2.5210084033613446E-2</v>
      </c>
      <c r="O33" s="98">
        <f t="shared" si="7"/>
        <v>5.0420168067226892E-2</v>
      </c>
    </row>
    <row r="34" spans="1:15" x14ac:dyDescent="0.2">
      <c r="A34" s="122" t="s">
        <v>4154</v>
      </c>
      <c r="B34" s="44" t="str">
        <f>IF(LEN(VLOOKUP(A34,'Species List'!$A:$G,2,FALSE))=0,"",VLOOKUP(A34,'Species List'!$A:$G,2,FALSE))</f>
        <v>white campion</v>
      </c>
      <c r="C34" s="44">
        <f>IF(LEN(VLOOKUP(A34,'Species List'!$A:$G,3,FALSE))=0,"",VLOOKUP(A34,'Species List'!$A:$G,3,FALSE))</f>
        <v>0</v>
      </c>
      <c r="D34" s="99">
        <f t="shared" si="4"/>
        <v>0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Introduced</v>
      </c>
      <c r="G34" s="44" t="str">
        <f>IF(LEN(VLOOKUP(A34,'Species List'!$A:$G,6,FALSE))=0,"",VLOOKUP(A34,'Species List'!$A:$G,6,FALSE))</f>
        <v/>
      </c>
      <c r="H34" s="44">
        <f>VLOOKUP(A34,'Species List'!$A:$G,7,FALSE)</f>
        <v>0</v>
      </c>
      <c r="J34" s="123" t="s">
        <v>5407</v>
      </c>
      <c r="K34" s="47" t="str">
        <f>VLOOKUP(J34,'Species List'!$H$1:$J$9,2,FALSE)</f>
        <v>&gt;1-5%</v>
      </c>
      <c r="L34" s="47">
        <f>VLOOKUP(K34,'Species List'!$I$1:$N$8,2,FALSE)</f>
        <v>3</v>
      </c>
      <c r="M34" s="100">
        <f t="shared" si="5"/>
        <v>3</v>
      </c>
      <c r="N34" s="98">
        <f t="shared" si="6"/>
        <v>2.5210084033613446E-2</v>
      </c>
      <c r="O34" s="98">
        <f t="shared" si="7"/>
        <v>0</v>
      </c>
    </row>
    <row r="35" spans="1:15" x14ac:dyDescent="0.2">
      <c r="A35" s="122" t="s">
        <v>4431</v>
      </c>
      <c r="B35" s="44" t="str">
        <f>IF(LEN(VLOOKUP(A35,'Species List'!$A:$G,2,FALSE))=0,"",VLOOKUP(A35,'Species List'!$A:$G,2,FALSE))</f>
        <v>skyblue aster</v>
      </c>
      <c r="C35" s="44">
        <f>IF(LEN(VLOOKUP(A35,'Species List'!$A:$G,3,FALSE))=0,"",VLOOKUP(A35,'Species List'!$A:$G,3,FALSE))</f>
        <v>5</v>
      </c>
      <c r="D35" s="99">
        <f t="shared" si="4"/>
        <v>5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/>
      </c>
      <c r="H35" s="44">
        <f>VLOOKUP(A35,'Species List'!$A:$G,7,FALSE)</f>
        <v>0</v>
      </c>
      <c r="J35" s="123" t="s">
        <v>5407</v>
      </c>
      <c r="K35" s="47" t="str">
        <f>VLOOKUP(J35,'Species List'!$H$1:$J$9,2,FALSE)</f>
        <v>&gt;1-5%</v>
      </c>
      <c r="L35" s="47">
        <f>VLOOKUP(K35,'Species List'!$I$1:$N$8,2,FALSE)</f>
        <v>3</v>
      </c>
      <c r="M35" s="100">
        <f t="shared" si="5"/>
        <v>3</v>
      </c>
      <c r="N35" s="98">
        <f t="shared" si="6"/>
        <v>2.5210084033613446E-2</v>
      </c>
      <c r="O35" s="98">
        <f t="shared" si="7"/>
        <v>0.12605042016806722</v>
      </c>
    </row>
    <row r="36" spans="1:15" x14ac:dyDescent="0.2">
      <c r="A36" s="122" t="s">
        <v>4650</v>
      </c>
      <c r="B36" s="44" t="str">
        <f>IF(LEN(VLOOKUP(A36,'Species List'!$A:$G,2,FALSE))=0,"",VLOOKUP(A36,'Species List'!$A:$G,2,FALSE))</f>
        <v>common mullein</v>
      </c>
      <c r="C36" s="44">
        <f>IF(LEN(VLOOKUP(A36,'Species List'!$A:$G,3,FALSE))=0,"",VLOOKUP(A36,'Species List'!$A:$G,3,FALSE))</f>
        <v>0</v>
      </c>
      <c r="D36" s="99">
        <f t="shared" si="4"/>
        <v>0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Introduced</v>
      </c>
      <c r="G36" s="44" t="str">
        <f>IF(LEN(VLOOKUP(A36,'Species List'!$A:$G,6,FALSE))=0,"",VLOOKUP(A36,'Species List'!$A:$G,6,FALSE))</f>
        <v>UPL</v>
      </c>
      <c r="H36" s="44">
        <f>VLOOKUP(A36,'Species List'!$A:$G,7,FALSE)</f>
        <v>0</v>
      </c>
      <c r="J36" s="123" t="s">
        <v>5407</v>
      </c>
      <c r="K36" s="47" t="str">
        <f>VLOOKUP(J36,'Species List'!$H$1:$J$9,2,FALSE)</f>
        <v>&gt;1-5%</v>
      </c>
      <c r="L36" s="47">
        <f>VLOOKUP(K36,'Species List'!$I$1:$N$8,2,FALSE)</f>
        <v>3</v>
      </c>
      <c r="M36" s="100">
        <f t="shared" si="5"/>
        <v>3</v>
      </c>
      <c r="N36" s="98">
        <f t="shared" si="6"/>
        <v>2.5210084033613446E-2</v>
      </c>
      <c r="O36" s="98">
        <f t="shared" si="7"/>
        <v>0</v>
      </c>
    </row>
    <row r="37" spans="1:15" x14ac:dyDescent="0.2">
      <c r="A37" s="122" t="s">
        <v>320</v>
      </c>
      <c r="B37" s="44" t="str">
        <f>IF(LEN(VLOOKUP(A37,'Species List'!$A:$G,2,FALSE))=0,"",VLOOKUP(A37,'Species List'!$A:$G,2,FALSE))</f>
        <v>common ragweed</v>
      </c>
      <c r="C37" s="44">
        <f>IF(LEN(VLOOKUP(A37,'Species List'!$A:$G,3,FALSE))=0,"",VLOOKUP(A37,'Species List'!$A:$G,3,FALSE))</f>
        <v>0</v>
      </c>
      <c r="D37" s="99">
        <f t="shared" si="4"/>
        <v>0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FACU</v>
      </c>
      <c r="H37" s="44">
        <f>VLOOKUP(A37,'Species List'!$A:$G,7,FALSE)</f>
        <v>0</v>
      </c>
      <c r="J37" s="123" t="s">
        <v>5407</v>
      </c>
      <c r="K37" s="47" t="str">
        <f>VLOOKUP(J37,'Species List'!$H$1:$J$9,2,FALSE)</f>
        <v>&gt;1-5%</v>
      </c>
      <c r="L37" s="47">
        <f>VLOOKUP(K37,'Species List'!$I$1:$N$8,2,FALSE)</f>
        <v>3</v>
      </c>
      <c r="M37" s="100">
        <f t="shared" si="5"/>
        <v>3</v>
      </c>
      <c r="N37" s="98">
        <f t="shared" si="6"/>
        <v>2.5210084033613446E-2</v>
      </c>
      <c r="O37" s="98">
        <f t="shared" si="7"/>
        <v>0</v>
      </c>
    </row>
    <row r="38" spans="1:15" x14ac:dyDescent="0.2">
      <c r="A38" s="122" t="s">
        <v>2320</v>
      </c>
      <c r="B38" s="44" t="str">
        <f>IF(LEN(VLOOKUP(A38,'Species List'!$A:$G,2,FALSE))=0,"",VLOOKUP(A38,'Species List'!$A:$G,2,FALSE))</f>
        <v>hoary frostweed</v>
      </c>
      <c r="C38" s="44">
        <f>IF(LEN(VLOOKUP(A38,'Species List'!$A:$G,3,FALSE))=0,"",VLOOKUP(A38,'Species List'!$A:$G,3,FALSE))</f>
        <v>6</v>
      </c>
      <c r="D38" s="99">
        <f t="shared" si="4"/>
        <v>6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/>
      </c>
      <c r="H38" s="44">
        <f>VLOOKUP(A38,'Species List'!$A:$G,7,FALSE)</f>
        <v>0</v>
      </c>
      <c r="J38" s="123" t="s">
        <v>5407</v>
      </c>
      <c r="K38" s="47" t="str">
        <f>VLOOKUP(J38,'Species List'!$H$1:$J$9,2,FALSE)</f>
        <v>&gt;1-5%</v>
      </c>
      <c r="L38" s="47">
        <f>VLOOKUP(K38,'Species List'!$I$1:$N$8,2,FALSE)</f>
        <v>3</v>
      </c>
      <c r="M38" s="100">
        <f t="shared" si="5"/>
        <v>3</v>
      </c>
      <c r="N38" s="98">
        <f t="shared" si="6"/>
        <v>2.5210084033613446E-2</v>
      </c>
      <c r="O38" s="98">
        <f t="shared" si="7"/>
        <v>0.15126050420168069</v>
      </c>
    </row>
    <row r="39" spans="1:15" x14ac:dyDescent="0.2">
      <c r="A39" s="122" t="s">
        <v>1658</v>
      </c>
      <c r="B39" s="44" t="str">
        <f>IF(LEN(VLOOKUP(A39,'Species List'!$A:$G,2,FALSE))=0,"",VLOOKUP(A39,'Species List'!$A:$G,2,FALSE))</f>
        <v>pointed-leaved tick trefoil</v>
      </c>
      <c r="C39" s="44">
        <f>IF(LEN(VLOOKUP(A39,'Species List'!$A:$G,3,FALSE))=0,"",VLOOKUP(A39,'Species List'!$A:$G,3,FALSE))</f>
        <v>6</v>
      </c>
      <c r="D39" s="99">
        <f t="shared" si="4"/>
        <v>6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/>
      </c>
      <c r="H39" s="44">
        <f>VLOOKUP(A39,'Species List'!$A:$G,7,FALSE)</f>
        <v>0</v>
      </c>
      <c r="J39" s="123" t="s">
        <v>5407</v>
      </c>
      <c r="K39" s="47" t="str">
        <f>VLOOKUP(J39,'Species List'!$H$1:$J$9,2,FALSE)</f>
        <v>&gt;1-5%</v>
      </c>
      <c r="L39" s="47">
        <f>VLOOKUP(K39,'Species List'!$I$1:$N$8,2,FALSE)</f>
        <v>3</v>
      </c>
      <c r="M39" s="100">
        <f t="shared" si="5"/>
        <v>3</v>
      </c>
      <c r="N39" s="98">
        <f t="shared" si="6"/>
        <v>2.5210084033613446E-2</v>
      </c>
      <c r="O39" s="98">
        <f t="shared" si="7"/>
        <v>0.15126050420168069</v>
      </c>
    </row>
    <row r="40" spans="1:15" x14ac:dyDescent="0.2">
      <c r="A40" s="122" t="s">
        <v>551</v>
      </c>
      <c r="B40" s="44" t="str">
        <f>IF(LEN(VLOOKUP(A40,'Species List'!$A:$G,2,FALSE))=0,"",VLOOKUP(A40,'Species List'!$A:$G,2,FALSE))</f>
        <v>common milkweed</v>
      </c>
      <c r="C40" s="44">
        <f>IF(LEN(VLOOKUP(A40,'Species List'!$A:$G,3,FALSE))=0,"",VLOOKUP(A40,'Species List'!$A:$G,3,FALSE))</f>
        <v>1</v>
      </c>
      <c r="D40" s="99">
        <f t="shared" si="4"/>
        <v>1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FACU</v>
      </c>
      <c r="H40" s="44">
        <f>VLOOKUP(A40,'Species List'!$A:$G,7,FALSE)</f>
        <v>0</v>
      </c>
      <c r="J40" s="123" t="s">
        <v>5409</v>
      </c>
      <c r="K40" s="47" t="str">
        <f>VLOOKUP(J40,'Species List'!$H$1:$J$9,2,FALSE)</f>
        <v>&gt;0-1%</v>
      </c>
      <c r="L40" s="47">
        <f>VLOOKUP(K40,'Species List'!$I$1:$N$8,2,FALSE)</f>
        <v>0.5</v>
      </c>
      <c r="M40" s="100">
        <f t="shared" si="5"/>
        <v>0.5</v>
      </c>
      <c r="N40" s="98">
        <f t="shared" si="6"/>
        <v>4.2016806722689074E-3</v>
      </c>
      <c r="O40" s="98">
        <f t="shared" si="7"/>
        <v>4.2016806722689074E-3</v>
      </c>
    </row>
    <row r="41" spans="1:15" x14ac:dyDescent="0.2">
      <c r="A41" s="122" t="s">
        <v>4433</v>
      </c>
      <c r="B41" s="44" t="str">
        <f>IF(LEN(VLOOKUP(A41,'Species List'!$A:$G,2,FALSE))=0,"",VLOOKUP(A41,'Species List'!$A:$G,2,FALSE))</f>
        <v>awl aster</v>
      </c>
      <c r="C41" s="44">
        <f>IF(LEN(VLOOKUP(A41,'Species List'!$A:$G,3,FALSE))=0,"",VLOOKUP(A41,'Species List'!$A:$G,3,FALSE))</f>
        <v>1</v>
      </c>
      <c r="D41" s="99">
        <f t="shared" si="4"/>
        <v>1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FACU</v>
      </c>
      <c r="H41" s="44" t="str">
        <f>VLOOKUP(A41,'Species List'!$A:$G,7,FALSE)</f>
        <v>W</v>
      </c>
      <c r="J41" s="123" t="s">
        <v>5407</v>
      </c>
      <c r="K41" s="47" t="str">
        <f>VLOOKUP(J41,'Species List'!$H$1:$J$9,2,FALSE)</f>
        <v>&gt;1-5%</v>
      </c>
      <c r="L41" s="47">
        <f>VLOOKUP(K41,'Species List'!$I$1:$N$8,2,FALSE)</f>
        <v>3</v>
      </c>
      <c r="M41" s="100">
        <f t="shared" si="5"/>
        <v>3</v>
      </c>
      <c r="N41" s="98">
        <f t="shared" si="6"/>
        <v>2.5210084033613446E-2</v>
      </c>
      <c r="O41" s="98">
        <f t="shared" si="7"/>
        <v>2.5210084033613446E-2</v>
      </c>
    </row>
    <row r="42" spans="1:15" x14ac:dyDescent="0.2">
      <c r="A42" s="122" t="s">
        <v>234</v>
      </c>
      <c r="B42" s="44" t="str">
        <f>IF(LEN(VLOOKUP(A42,'Species List'!$A:$G,2,FALSE))=0,"",VLOOKUP(A42,'Species List'!$A:$G,2,FALSE))</f>
        <v>white snakeroot</v>
      </c>
      <c r="C42" s="44">
        <f>IF(LEN(VLOOKUP(A42,'Species List'!$A:$G,3,FALSE))=0,"",VLOOKUP(A42,'Species List'!$A:$G,3,FALSE))</f>
        <v>1</v>
      </c>
      <c r="D42" s="99">
        <f t="shared" si="4"/>
        <v>1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FACU</v>
      </c>
      <c r="H42" s="44">
        <f>VLOOKUP(A42,'Species List'!$A:$G,7,FALSE)</f>
        <v>0</v>
      </c>
      <c r="J42" s="123" t="s">
        <v>5409</v>
      </c>
      <c r="K42" s="47" t="str">
        <f>VLOOKUP(J42,'Species List'!$H$1:$J$9,2,FALSE)</f>
        <v>&gt;0-1%</v>
      </c>
      <c r="L42" s="47">
        <f>VLOOKUP(K42,'Species List'!$I$1:$N$8,2,FALSE)</f>
        <v>0.5</v>
      </c>
      <c r="M42" s="100">
        <f t="shared" si="5"/>
        <v>0.5</v>
      </c>
      <c r="N42" s="98">
        <f t="shared" si="6"/>
        <v>4.2016806722689074E-3</v>
      </c>
      <c r="O42" s="98">
        <f t="shared" si="7"/>
        <v>4.2016806722689074E-3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7" t="s">
        <v>5376</v>
      </c>
      <c r="J153" s="148"/>
      <c r="K153" s="149"/>
      <c r="L153" s="63">
        <f>SUMIF(L12:L152,"&gt;=0")</f>
        <v>119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6"/>
      <c r="C7" s="146"/>
      <c r="D7" s="146"/>
      <c r="E7" s="146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4" customFormat="1" ht="14.25" thickTop="1" thickBot="1" x14ac:dyDescent="0.25">
      <c r="A10" s="45" t="s">
        <v>5448</v>
      </c>
      <c r="B10" s="151"/>
      <c r="C10" s="151"/>
      <c r="D10" s="151"/>
      <c r="E10" s="151"/>
      <c r="F10" s="151"/>
      <c r="G10" s="151"/>
      <c r="H10" s="151"/>
      <c r="I10" s="152"/>
      <c r="J10" s="151"/>
      <c r="K10" s="151"/>
      <c r="L10" s="151"/>
      <c r="M10" s="151"/>
      <c r="N10" s="153"/>
      <c r="O10" s="153"/>
    </row>
    <row r="11" spans="1:15" s="124" customFormat="1" ht="13.5" thickTop="1" x14ac:dyDescent="0.2">
      <c r="A11" s="151"/>
      <c r="B11" s="151"/>
      <c r="C11" s="151"/>
      <c r="D11" s="151"/>
      <c r="E11" s="151"/>
      <c r="F11" s="151"/>
      <c r="G11" s="151"/>
      <c r="H11" s="151"/>
      <c r="I11" s="152"/>
      <c r="J11" s="151"/>
      <c r="K11" s="151"/>
      <c r="L11" s="151"/>
      <c r="M11" s="151"/>
      <c r="N11" s="153"/>
      <c r="O11" s="153"/>
    </row>
    <row r="12" spans="1:15" x14ac:dyDescent="0.2">
      <c r="A12" s="122" t="s">
        <v>1970</v>
      </c>
      <c r="B12" s="44" t="str">
        <f>IF(LEN(VLOOKUP(A12,'Species List'!$A:$G,2,FALSE))=0,"",VLOOKUP(A12,'Species List'!$A:$G,2,FALSE))</f>
        <v>purple lovegrass</v>
      </c>
      <c r="C12" s="44">
        <f>IF(LEN(VLOOKUP(A12,'Species List'!$A:$G,3,FALSE))=0,"",VLOOKUP(A12,'Species List'!$A:$G,3,FALSE))</f>
        <v>3</v>
      </c>
      <c r="D12" s="99">
        <f t="shared" ref="D12:D20" si="0">VALUE(C12)</f>
        <v>3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UPL</v>
      </c>
      <c r="H12" s="44">
        <f>VLOOKUP(A12,'Species List'!$A:$G,7,FALSE)</f>
        <v>0</v>
      </c>
      <c r="J12" s="123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78" si="1">VALUE(L12)</f>
        <v>3</v>
      </c>
      <c r="N12" s="107">
        <f t="shared" ref="N12:N77" si="2">L12/$L$153</f>
        <v>0.05</v>
      </c>
      <c r="O12" s="107">
        <f t="shared" ref="O12:O78" si="3">D12*N12</f>
        <v>0.15000000000000002</v>
      </c>
    </row>
    <row r="13" spans="1:15" x14ac:dyDescent="0.2">
      <c r="A13" s="122" t="s">
        <v>4032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5</v>
      </c>
      <c r="D13" s="99">
        <f t="shared" si="0"/>
        <v>5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[FACU-]</v>
      </c>
      <c r="H13" s="44">
        <f>VLOOKUP(A13,'Species List'!$A:$G,7,FALSE)</f>
        <v>0</v>
      </c>
      <c r="J13" s="123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7">
        <f t="shared" si="2"/>
        <v>0.25</v>
      </c>
      <c r="O13" s="107">
        <f t="shared" si="3"/>
        <v>1.25</v>
      </c>
    </row>
    <row r="14" spans="1:15" x14ac:dyDescent="0.2">
      <c r="A14" s="122" t="s">
        <v>3182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1</v>
      </c>
      <c r="D14" s="99">
        <f t="shared" si="0"/>
        <v>1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</v>
      </c>
      <c r="H14" s="44">
        <f>VLOOKUP(A14,'Species List'!$A:$G,7,FALSE)</f>
        <v>0</v>
      </c>
      <c r="J14" s="123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 t="shared" si="1"/>
        <v>15</v>
      </c>
      <c r="N14" s="106">
        <f t="shared" si="2"/>
        <v>0.25</v>
      </c>
      <c r="O14" s="106">
        <f t="shared" si="3"/>
        <v>0.25</v>
      </c>
    </row>
    <row r="15" spans="1:15" x14ac:dyDescent="0.2">
      <c r="A15" s="122" t="s">
        <v>1566</v>
      </c>
      <c r="B15" s="44" t="str">
        <f>IF(LEN(VLOOKUP(A15,'Species List'!$A:$G,2,FALSE))=0,"",VLOOKUP(A15,'Species List'!$A:$G,2,FALSE))</f>
        <v>slender nut sedge</v>
      </c>
      <c r="C15" s="44">
        <f>IF(LEN(VLOOKUP(A15,'Species List'!$A:$G,3,FALSE))=0,"",VLOOKUP(A15,'Species List'!$A:$G,3,FALSE))</f>
        <v>6</v>
      </c>
      <c r="D15" s="99">
        <f t="shared" si="0"/>
        <v>6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[FACU-]</v>
      </c>
      <c r="H15" s="44">
        <f>VLOOKUP(A15,'Species List'!$A:$G,7,FALSE)</f>
        <v>0</v>
      </c>
      <c r="J15" s="123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0.05</v>
      </c>
      <c r="O15" s="98">
        <f t="shared" si="3"/>
        <v>0.30000000000000004</v>
      </c>
    </row>
    <row r="16" spans="1:15" x14ac:dyDescent="0.2">
      <c r="A16" s="122" t="s">
        <v>1691</v>
      </c>
      <c r="B16" s="44" t="str">
        <f>IF(LEN(VLOOKUP(A16,'Species List'!$A:$G,2,FALSE))=0,"",VLOOKUP(A16,'Species List'!$A:$G,2,FALSE))</f>
        <v>Scribner's panic grass</v>
      </c>
      <c r="C16" s="44">
        <f>IF(LEN(VLOOKUP(A16,'Species List'!$A:$G,3,FALSE))=0,"",VLOOKUP(A16,'Species List'!$A:$G,3,FALSE))</f>
        <v>3</v>
      </c>
      <c r="D16" s="99">
        <f t="shared" si="0"/>
        <v>3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23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100">
        <f t="shared" si="1"/>
        <v>15</v>
      </c>
      <c r="N16" s="98">
        <f t="shared" si="2"/>
        <v>0.25</v>
      </c>
      <c r="O16" s="98">
        <f t="shared" si="3"/>
        <v>0.75</v>
      </c>
    </row>
    <row r="17" spans="1:15" x14ac:dyDescent="0.2">
      <c r="A17" s="122" t="s">
        <v>4116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0</v>
      </c>
      <c r="D17" s="99">
        <f t="shared" si="0"/>
        <v>0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</v>
      </c>
      <c r="H17" s="44">
        <f>VLOOKUP(A17,'Species List'!$A:$G,7,FALSE)</f>
        <v>0</v>
      </c>
      <c r="J17" s="123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1"/>
        <v>3</v>
      </c>
      <c r="N17" s="98">
        <f t="shared" si="2"/>
        <v>0.05</v>
      </c>
      <c r="O17" s="98">
        <f t="shared" si="3"/>
        <v>0</v>
      </c>
    </row>
    <row r="18" spans="1:15" x14ac:dyDescent="0.2">
      <c r="A18" s="122" t="s">
        <v>3288</v>
      </c>
      <c r="B18" s="44" t="str">
        <f>IF(LEN(VLOOKUP(A18,'Species List'!$A:$G,2,FALSE))=0,"",VLOOKUP(A18,'Species List'!$A:$G,2,FALSE))</f>
        <v>reed canary grass</v>
      </c>
      <c r="C18" s="44">
        <f>IF(LEN(VLOOKUP(A18,'Species List'!$A:$G,3,FALSE))=0,"",VLOOKUP(A18,'Species List'!$A:$G,3,FALSE))</f>
        <v>0</v>
      </c>
      <c r="D18" s="99">
        <f t="shared" si="0"/>
        <v>0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FACW+</v>
      </c>
      <c r="H18" s="44">
        <f>VLOOKUP(A18,'Species List'!$A:$G,7,FALSE)</f>
        <v>0</v>
      </c>
      <c r="J18" s="123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1"/>
        <v>3</v>
      </c>
      <c r="N18" s="98">
        <f t="shared" si="2"/>
        <v>0.05</v>
      </c>
      <c r="O18" s="98">
        <f t="shared" si="3"/>
        <v>0</v>
      </c>
    </row>
    <row r="19" spans="1:15" x14ac:dyDescent="0.2">
      <c r="A19" s="122" t="s">
        <v>3443</v>
      </c>
      <c r="B19" s="44" t="str">
        <f>IF(LEN(VLOOKUP(A19,'Species List'!$A:$G,2,FALSE))=0,"",VLOOKUP(A19,'Species List'!$A:$G,2,FALSE))</f>
        <v>Kentucky bluegrass</v>
      </c>
      <c r="C19" s="44">
        <f>IF(LEN(VLOOKUP(A19,'Species List'!$A:$G,3,FALSE))=0,"",VLOOKUP(A19,'Species List'!$A:$G,3,FALSE))</f>
        <v>0</v>
      </c>
      <c r="D19" s="99">
        <f t="shared" si="0"/>
        <v>0</v>
      </c>
      <c r="E19" s="44" t="str">
        <f>IF(LEN(VLOOKUP(A19,'Species List'!$A:$G,4,FALSE))=0,"",VLOOKUP(A19,'Species List'!$A:$G,4,FALSE))</f>
        <v>G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FAC</v>
      </c>
      <c r="H19" s="44">
        <f>VLOOKUP(A19,'Species List'!$A:$G,7,FALSE)</f>
        <v>0</v>
      </c>
      <c r="J19" s="123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1"/>
        <v>3</v>
      </c>
      <c r="N19" s="98">
        <f t="shared" si="2"/>
        <v>0.05</v>
      </c>
      <c r="O19" s="98">
        <f t="shared" si="3"/>
        <v>0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5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7" t="s">
        <v>5376</v>
      </c>
      <c r="J153" s="148"/>
      <c r="K153" s="149"/>
      <c r="L153" s="63">
        <f>SUMIF(L12:L152,"&gt;=0")</f>
        <v>60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0" t="s">
        <v>4837</v>
      </c>
      <c r="B1" s="150"/>
      <c r="C1" s="150"/>
      <c r="D1" s="150"/>
      <c r="E1" s="150"/>
      <c r="F1" s="150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12</v>
      </c>
      <c r="C4" s="102">
        <f>COUNTIF(Forbs!$F$12:$F$150,"Native")</f>
        <v>25</v>
      </c>
      <c r="D4" s="102">
        <f>COUNTIF(Grasses!$F$12:$F$151,"Native")</f>
        <v>5</v>
      </c>
      <c r="E4" s="102">
        <f>AVERAGE(B4:D4)</f>
        <v>14</v>
      </c>
      <c r="F4" s="102">
        <f>SUM(B4:D4)</f>
        <v>42</v>
      </c>
    </row>
    <row r="5" spans="1:6" ht="18" x14ac:dyDescent="0.25">
      <c r="A5" s="53" t="s">
        <v>4842</v>
      </c>
      <c r="B5" s="102">
        <f>COUNTIF(Woody!$F12:$F201,"Introduced")</f>
        <v>5</v>
      </c>
      <c r="C5" s="102">
        <f>COUNTIF(Forbs!$F12:$F201,"Introduced")</f>
        <v>6</v>
      </c>
      <c r="D5" s="102">
        <f>COUNTIF(Grasses!$F12:$F201,"Introduced")</f>
        <v>3</v>
      </c>
      <c r="E5" s="102">
        <f t="shared" ref="E5:E6" si="0">AVERAGE(B5:D5)</f>
        <v>4.666666666666667</v>
      </c>
      <c r="F5" s="102">
        <f>SUM(B5:D5)</f>
        <v>14</v>
      </c>
    </row>
    <row r="6" spans="1:6" s="81" customFormat="1" ht="21" x14ac:dyDescent="0.35">
      <c r="A6" s="53" t="s">
        <v>5411</v>
      </c>
      <c r="B6" s="102">
        <f>SUM(B4:B5)</f>
        <v>17</v>
      </c>
      <c r="C6" s="102">
        <f>SUM(C4:C5)</f>
        <v>31</v>
      </c>
      <c r="D6" s="102">
        <f>SUM(D4:D5)</f>
        <v>8</v>
      </c>
      <c r="E6" s="102">
        <f t="shared" si="0"/>
        <v>18.666666666666668</v>
      </c>
      <c r="F6" s="102">
        <f>SUM(B6:D6)</f>
        <v>56</v>
      </c>
    </row>
    <row r="7" spans="1:6" ht="18" x14ac:dyDescent="0.25">
      <c r="A7" s="53" t="s">
        <v>4843</v>
      </c>
      <c r="B7" s="102">
        <f>AVERAGEIF(Woody!D12:D152,"&gt;0")</f>
        <v>2.9166666666666665</v>
      </c>
      <c r="C7" s="102">
        <f>AVERAGEIF(Forbs!D12:D152,"&gt;0")</f>
        <v>3.2173913043478262</v>
      </c>
      <c r="D7" s="102">
        <f>AVERAGEIF(Grasses!D12:D152,"&gt;0")</f>
        <v>3.6</v>
      </c>
      <c r="E7" s="102">
        <f>AVERAGE(B7:D7)</f>
        <v>3.244685990338164</v>
      </c>
      <c r="F7" s="102">
        <f>(SUMIF(Woody!D12:D152,"&gt;0")+SUMIF(Forbs!D12:D152,"&gt;0")+SUMIF(Grasses!D12:D152,"&gt;0"))/(COUNTIF(Woody!D12:D152,"&gt;0")+COUNTIF(Forbs!D12:D152,"&gt;0")+COUNTIF(Grasses!D12:D152,"&gt;0"))</f>
        <v>3.1749999999999998</v>
      </c>
    </row>
    <row r="8" spans="1:6" s="31" customFormat="1" ht="21" x14ac:dyDescent="0.35">
      <c r="A8" s="53" t="s">
        <v>5412</v>
      </c>
      <c r="B8" s="102">
        <f>AVERAGEIF(Woody!D12:D152,"&gt;=0")</f>
        <v>1.9444444444444444</v>
      </c>
      <c r="C8" s="102">
        <f>AVERAGEIF(Forbs!D12:D152,"&gt;=0")</f>
        <v>2.3870967741935485</v>
      </c>
      <c r="D8" s="102">
        <f>AVERAGEIF(Grasses!D12:D152,"&gt;=0")</f>
        <v>2.25</v>
      </c>
      <c r="E8" s="102">
        <f>AVERAGE(B8:D8)</f>
        <v>2.1938470728793309</v>
      </c>
      <c r="F8" s="102">
        <f>(SUMIF(Woody!D12:D152,"&gt;=0")+SUMIF(Forbs!D12:D152,"&gt;=0")+SUMIF(Grasses!D12:D152,"&gt;=0"))/(COUNTIF(Woody!D12:D152,"&gt;=0")+COUNTIF(Forbs!D12:D152,"&gt;=0")+COUNTIF(Grasses!D12:D152,"&gt;=0"))</f>
        <v>2.2280701754385963</v>
      </c>
    </row>
    <row r="9" spans="1:6" ht="18" x14ac:dyDescent="0.25">
      <c r="A9" s="53" t="s">
        <v>4836</v>
      </c>
      <c r="B9" s="102">
        <f>SQRT(B4)*B7</f>
        <v>10.103629710818449</v>
      </c>
      <c r="C9" s="102">
        <f>SQRT(C4)*C7</f>
        <v>16.086956521739133</v>
      </c>
      <c r="D9" s="102">
        <f>SQRT(D4)*D7</f>
        <v>8.0498447189992444</v>
      </c>
      <c r="E9" s="102">
        <f>SQRT(E4)*E7</f>
        <v>12.140503303510712</v>
      </c>
      <c r="F9" s="102">
        <f>SQRT(F4)*F7</f>
        <v>20.576351717444954</v>
      </c>
    </row>
    <row r="10" spans="1:6" s="82" customFormat="1" ht="21" x14ac:dyDescent="0.35">
      <c r="A10" s="53" t="s">
        <v>5413</v>
      </c>
      <c r="B10" s="102">
        <f>SQRT(B6)*B8</f>
        <v>8.0171498275898951</v>
      </c>
      <c r="C10" s="102">
        <f>SQRT(C6)*C8</f>
        <v>13.290792349981341</v>
      </c>
      <c r="D10" s="102">
        <f>SQRT(D6)*D8</f>
        <v>6.3639610306789285</v>
      </c>
      <c r="E10" s="102">
        <f>SQRT(E6)*E8</f>
        <v>9.4785026741946901</v>
      </c>
      <c r="F10" s="102">
        <f>SQRT(F6)*F8</f>
        <v>16.673350460361071</v>
      </c>
    </row>
    <row r="11" spans="1:6" ht="18" x14ac:dyDescent="0.25">
      <c r="A11" s="53" t="s">
        <v>4844</v>
      </c>
      <c r="B11" s="102">
        <f>SUMIF(Woody!$M$12:$M$152,"&gt;=0")</f>
        <v>94.5</v>
      </c>
      <c r="C11" s="102">
        <f>SUMIF(Forbs!$M$12:$M$153,"&gt;=0")</f>
        <v>119</v>
      </c>
      <c r="D11" s="102">
        <f>SUMIF(Grasses!$M$12:$M$152,"&gt;=0")</f>
        <v>60</v>
      </c>
      <c r="E11" s="102">
        <f>AVERAGE(B11:D11)</f>
        <v>91.166666666666671</v>
      </c>
      <c r="F11" s="102">
        <f>SUM(B11:D11)</f>
        <v>273.5</v>
      </c>
    </row>
    <row r="12" spans="1:6" ht="18" x14ac:dyDescent="0.25">
      <c r="A12" s="53" t="s">
        <v>5377</v>
      </c>
      <c r="B12" s="102">
        <f>SUMIF(Woody!$F$12:$F$152,"Introduced",Woody!$L$12:$L$152)</f>
        <v>24.5</v>
      </c>
      <c r="C12" s="102">
        <f>SUMIF(Forbs!$F$12:$F$153,"Introduced",Forbs!$L$12:$L$153)</f>
        <v>30</v>
      </c>
      <c r="D12" s="102">
        <f>SUMIF(Grasses!$F$12:$F$152,"Introduced",Grasses!$L$12:$L$152)</f>
        <v>9</v>
      </c>
      <c r="E12" s="102">
        <f>AVERAGE(B12:D12)</f>
        <v>21.166666666666668</v>
      </c>
      <c r="F12" s="102">
        <f>SUM(B12:D12)</f>
        <v>63.5</v>
      </c>
    </row>
    <row r="13" spans="1:6" ht="18.75" thickBot="1" x14ac:dyDescent="0.3">
      <c r="A13" s="54" t="s">
        <v>4845</v>
      </c>
      <c r="B13" s="103">
        <f>B12/B11</f>
        <v>0.25925925925925924</v>
      </c>
      <c r="C13" s="103">
        <f>C12/C11</f>
        <v>0.25210084033613445</v>
      </c>
      <c r="D13" s="103">
        <f>D12/D11</f>
        <v>0.15</v>
      </c>
      <c r="E13" s="103">
        <f>E12/E11</f>
        <v>0.23217550274223034</v>
      </c>
      <c r="F13" s="103">
        <f>F12/F11</f>
        <v>0.23217550274223034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2.3280423280423279</v>
      </c>
      <c r="C15" s="101">
        <f>SUMIF(Forbs!$O$12:$O$152,"&gt;=0")</f>
        <v>2.2394957983193273</v>
      </c>
      <c r="D15" s="101">
        <f>SUMIF(Grasses!$O$12:$O$152,"&gt;=0")</f>
        <v>2.7</v>
      </c>
      <c r="E15" s="101">
        <f>AVERAGE(B15:D15)</f>
        <v>2.4225127087872185</v>
      </c>
      <c r="F15" s="102">
        <f>SUM(B15:D15)</f>
        <v>7.2675381263616554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2023-01-27T17:30:19Z</dcterms:modified>
</cp:coreProperties>
</file>