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4D1C1753-6EA4-4E38-AABA-40DEC98DC772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3" i="10"/>
  <c r="C35" i="10"/>
  <c r="C36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B32" i="10"/>
  <c r="K31" i="10"/>
  <c r="L31" i="10" s="1"/>
  <c r="H31" i="10"/>
  <c r="G31" i="10"/>
  <c r="B31" i="10"/>
  <c r="K30" i="10"/>
  <c r="L30" i="10" s="1"/>
  <c r="H30" i="10"/>
  <c r="G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<sst xmlns="http://schemas.openxmlformats.org/spreadsheetml/2006/main" count="13163" uniqueCount="5452">
  <si>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</si>
  <si>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</si>
  <si>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</si>
  <si>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</si>
  <si>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</si>
  <si>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</si>
  <si>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</si>
  <si>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</si>
  <si>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</si>
  <si>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</si>
  <si>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</si>
  <si>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</si>
  <si>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</si>
  <si>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</si>
  <si>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</si>
  <si>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</si>
  <si>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</si>
  <si>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</si>
  <si>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</si>
  <si>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</si>
  <si>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</si>
  <si>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</si>
  <si>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</si>
  <si>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</si>
  <si>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</si>
  <si>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</si>
  <si>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</si>
  <si>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</si>
  <si>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</si>
  <si>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</si>
  <si>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</si>
  <si>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</si>
  <si>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</si>
  <si>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</si>
  <si>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</si>
  <si>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</si>
  <si>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</si>
  <si>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</si>
  <si>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</si>
  <si>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</si>
  <si>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</si>
  <si>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</si>
  <si>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</si>
  <si>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</si>
  <si>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</si>
  <si>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</si>
  <si>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</si>
  <si>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</si>
  <si>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</si>
  <si>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</si>
  <si>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</si>
  <si>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</si>
  <si>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</si>
  <si>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</si>
  <si>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</si>
  <si>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</si>
  <si>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</si>
  <si>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</si>
  <si>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</si>
  <si>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</si>
  <si>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</si>
  <si>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</si>
  <si>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</si>
  <si>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</si>
  <si>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</si>
  <si>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</si>
  <si>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</si>
  <si>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</si>
  <si>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</si>
  <si>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</si>
  <si>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</si>
  <si>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</si>
  <si>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</si>
  <si>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</si>
  <si>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</si>
  <si>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</si>
  <si>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</si>
  <si>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</si>
  <si>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</si>
  <si>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</si>
  <si>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</si>
  <si>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</si>
  <si>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</si>
  <si>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</si>
  <si>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</si>
  <si>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</si>
  <si>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</si>
  <si>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</si>
  <si>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</si>
  <si>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</si>
  <si>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</si>
  <si>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</si>
  <si>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</si>
  <si>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</si>
  <si>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</si>
  <si>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</si>
  <si>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</si>
  <si>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</si>
  <si>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</si>
  <si>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</si>
  <si>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</si>
  <si>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</si>
  <si>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</si>
  <si>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</si>
  <si>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</si>
  <si>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</si>
  <si>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</si>
  <si>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</si>
  <si>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</si>
  <si>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</si>
  <si>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</si>
  <si>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</si>
  <si>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</si>
  <si>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</si>
  <si>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</si>
  <si>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</si>
  <si>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</si>
  <si>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</si>
  <si>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</si>
  <si>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</si>
  <si>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</si>
  <si>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</si>
  <si>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</si>
  <si>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</si>
  <si>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</si>
  <si>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</si>
  <si>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</si>
  <si>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</si>
  <si>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</si>
  <si>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</si>
  <si>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</si>
  <si>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</si>
  <si>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</si>
  <si>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</si>
  <si>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</si>
  <si>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</si>
  <si>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</si>
  <si>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</si>
  <si>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</si>
  <si>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</si>
  <si>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</si>
  <si>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</si>
  <si>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</si>
  <si>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</si>
  <si>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</si>
  <si>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</si>
  <si>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</si>
  <si>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</si>
  <si>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</si>
  <si>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</si>
  <si>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</si>
  <si>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</si>
  <si>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</si>
  <si>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</si>
  <si>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</si>
  <si>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</si>
  <si>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</si>
  <si>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</si>
  <si>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</si>
  <si>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</si>
  <si>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</si>
  <si>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</si>
  <si>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</si>
  <si>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</si>
  <si>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</si>
  <si>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</si>
  <si>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</si>
  <si>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</si>
  <si>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</si>
  <si>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</si>
  <si>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</si>
  <si>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</si>
  <si>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</si>
  <si>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</si>
  <si>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</si>
  <si>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</si>
  <si>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</si>
  <si>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</si>
  <si>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</si>
  <si>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</si>
  <si>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</si>
  <si>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</si>
  <si>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</si>
  <si>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</si>
  <si>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</si>
  <si>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</si>
  <si>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</si>
  <si>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</si>
  <si>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</si>
  <si>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</si>
  <si>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</si>
  <si>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</si>
  <si>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</si>
  <si>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</si>
  <si>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</si>
  <si>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</si>
  <si>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</si>
  <si>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</si>
  <si>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</si>
  <si>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</si>
  <si>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</si>
  <si>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</si>
  <si>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</si>
  <si>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</si>
  <si>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</si>
  <si>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</si>
  <si>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</si>
  <si>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</si>
  <si>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</si>
  <si>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</si>
  <si>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</si>
  <si>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</si>
  <si>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</si>
  <si>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</si>
  <si>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</si>
  <si>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</si>
  <si>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</si>
  <si>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</si>
  <si>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</si>
  <si>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</si>
  <si>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</si>
  <si>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</si>
  <si>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</si>
  <si>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</si>
  <si>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</si>
  <si>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</si>
  <si>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</si>
  <si>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</si>
  <si>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</si>
  <si>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</si>
  <si>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</si>
  <si>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</si>
  <si>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</si>
  <si>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</si>
  <si>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</si>
  <si>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</si>
  <si>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</si>
  <si>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</si>
  <si>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</si>
  <si>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</si>
  <si>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</si>
  <si>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</si>
  <si>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</si>
  <si>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</si>
  <si>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</si>
  <si>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</si>
  <si>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</si>
  <si>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</si>
  <si>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</si>
  <si>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</si>
  <si>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</si>
  <si>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</si>
  <si>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</si>
  <si>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</si>
  <si>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</si>
  <si>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</si>
  <si>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</si>
  <si>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</si>
  <si>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</si>
  <si>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</si>
  <si>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</si>
  <si>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</si>
  <si>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</si>
  <si>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</si>
  <si>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</si>
  <si>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</si>
  <si>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</si>
  <si>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</si>
  <si>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</si>
  <si>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</si>
  <si>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</si>
  <si>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</si>
  <si>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</si>
  <si>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</si>
  <si>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</si>
  <si>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</si>
  <si>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</si>
  <si>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</si>
  <si>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</si>
  <si>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</si>
  <si>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</si>
  <si>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</si>
  <si>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</si>
  <si>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</si>
  <si>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</si>
  <si>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</si>
  <si>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</si>
  <si>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</si>
  <si>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</si>
  <si>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</si>
  <si>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</si>
  <si>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</si>
  <si>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</si>
  <si>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</si>
  <si>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</si>
  <si>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</si>
  <si>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</si>
  <si>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</si>
  <si>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</si>
  <si>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</si>
  <si>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</si>
  <si>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</si>
  <si>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</si>
  <si>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</si>
  <si>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</si>
  <si>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</si>
  <si>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</si>
  <si>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</si>
  <si>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</si>
  <si>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</si>
  <si>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</si>
  <si>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</si>
  <si>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</si>
  <si>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</si>
  <si>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</si>
  <si>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</si>
  <si>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</si>
  <si>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</si>
  <si>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</si>
  <si>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</si>
  <si>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</si>
  <si>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</si>
  <si>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</si>
  <si>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</si>
  <si>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</si>
  <si>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</si>
  <si>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</si>
  <si>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</si>
  <si>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</si>
  <si>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</si>
  <si>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</si>
  <si>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</si>
  <si>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</si>
  <si>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</si>
  <si>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</si>
  <si>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</si>
  <si>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</si>
  <si>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</si>
  <si>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</si>
  <si>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</si>
  <si>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</si>
  <si>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</si>
  <si>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</si>
  <si>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</si>
  <si>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</si>
  <si>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</si>
  <si>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</si>
  <si>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</si>
  <si>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</si>
  <si>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</si>
  <si>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</si>
  <si>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</si>
  <si>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</si>
  <si>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</si>
  <si>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</si>
  <si>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</si>
  <si>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</si>
  <si>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</si>
  <si>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</si>
  <si>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</si>
  <si>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</si>
  <si>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</si>
  <si>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</si>
  <si>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</si>
  <si>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</si>
  <si>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</si>
  <si>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</si>
  <si>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</si>
  <si>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</si>
  <si>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</si>
  <si>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</si>
  <si>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</si>
  <si>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</si>
  <si>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</si>
  <si>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</si>
  <si>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</si>
  <si>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</si>
  <si>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</si>
  <si>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</si>
  <si>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</si>
  <si>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</si>
  <si>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</si>
  <si>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</si>
  <si>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</si>
  <si>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</si>
  <si>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</si>
  <si>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</si>
  <si>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</si>
  <si>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</si>
  <si>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</si>
  <si>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</si>
  <si>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</si>
  <si>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</si>
  <si>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</si>
  <si>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</si>
  <si>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</si>
  <si>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</si>
  <si>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</si>
  <si>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</si>
  <si>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</si>
  <si>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</si>
  <si>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</si>
  <si>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</si>
  <si>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</si>
  <si>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</si>
  <si>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</si>
  <si>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</si>
  <si>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</si>
  <si>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</si>
  <si>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</si>
  <si>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</si>
  <si>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</si>
  <si>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</si>
  <si>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</si>
  <si>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</si>
  <si>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</si>
  <si>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</si>
  <si>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</si>
  <si>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</si>
  <si>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</si>
  <si>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</si>
  <si>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</si>
  <si>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</si>
  <si>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</si>
  <si>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</si>
  <si>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</si>
  <si>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</si>
  <si>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</si>
  <si>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</si>
  <si>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</si>
  <si>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</si>
  <si>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</si>
  <si>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</si>
  <si>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</si>
  <si>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</si>
  <si>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</si>
  <si>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</si>
  <si>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</si>
  <si>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</si>
  <si>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</si>
  <si>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</si>
  <si>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</si>
  <si>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</si>
  <si>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</si>
  <si>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</si>
  <si>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</si>
  <si>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</si>
  <si>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</si>
  <si>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</si>
  <si>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</si>
  <si>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</si>
  <si>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</si>
  <si>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</si>
  <si>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</si>
  <si>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</si>
  <si>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</si>
  <si>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</si>
  <si>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</si>
  <si>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</si>
  <si>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</si>
  <si>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</si>
  <si>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</si>
  <si>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</si>
  <si>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</si>
  <si>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</si>
  <si>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</si>
  <si>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</si>
  <si>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</si>
  <si>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</si>
  <si>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</si>
  <si>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</si>
  <si>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</si>
  <si>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</si>
  <si>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</si>
  <si>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</si>
  <si>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</si>
  <si>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</si>
  <si>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</si>
  <si>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</si>
  <si>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</si>
  <si>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</si>
  <si>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</si>
  <si>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</si>
  <si>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</si>
  <si>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</si>
  <si>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</si>
  <si>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</si>
  <si>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</si>
  <si>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</si>
  <si>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</si>
  <si>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</si>
  <si>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</si>
  <si>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</si>
  <si>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</si>
  <si>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</si>
  <si>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</si>
  <si>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</si>
  <si>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</si>
  <si>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</si>
  <si>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</si>
  <si>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</si>
  <si>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</si>
  <si>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</si>
  <si>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</si>
  <si>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</si>
  <si>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</si>
  <si>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</si>
  <si>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</si>
  <si>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</si>
  <si>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</si>
  <si>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</si>
  <si>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</si>
  <si>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</si>
  <si>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</si>
  <si>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</si>
  <si>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</si>
  <si>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</si>
  <si>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</si>
  <si>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</si>
  <si>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</si>
  <si>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</si>
  <si>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</si>
  <si>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</si>
  <si>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</si>
  <si>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</si>
  <si>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</si>
  <si>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</si>
  <si>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</si>
  <si>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</si>
  <si>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</si>
  <si>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</si>
  <si>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</si>
  <si>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</si>
  <si>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</si>
  <si>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</si>
  <si>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</si>
  <si>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</si>
  <si>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</si>
  <si>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</si>
  <si>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</si>
  <si>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</si>
  <si>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</si>
  <si>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</si>
  <si>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</si>
  <si>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</si>
  <si>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</si>
  <si>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</si>
  <si>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</si>
  <si>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</si>
  <si>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</si>
  <si>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</si>
  <si>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</si>
  <si>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</si>
  <si>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</si>
  <si>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</si>
  <si>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</si>
  <si>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</si>
  <si>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</si>
  <si>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</si>
  <si>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</si>
  <si>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</si>
  <si>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</si>
  <si>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</si>
  <si>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</si>
  <si>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</si>
  <si>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</si>
  <si>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</si>
  <si>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</si>
  <si>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</si>
  <si>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</si>
  <si>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</si>
  <si>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</si>
  <si>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</si>
  <si>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</si>
  <si>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</si>
  <si>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</si>
  <si>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</si>
  <si>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</si>
  <si>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</si>
  <si>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</si>
  <si>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</si>
  <si>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</si>
  <si>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</si>
  <si>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</si>
  <si>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</si>
  <si>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</si>
  <si>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</si>
  <si>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</si>
  <si>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</si>
  <si>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</si>
  <si>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</si>
  <si>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</si>
  <si>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</si>
  <si>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</si>
  <si>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</si>
  <si>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</si>
  <si>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</si>
  <si>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</si>
  <si>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</si>
  <si>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</si>
  <si>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</si>
  <si>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</si>
  <si>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</si>
  <si>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</si>
  <si>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</si>
  <si>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</si>
  <si>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</si>
  <si>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</si>
  <si>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</si>
  <si>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</si>
  <si>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</si>
  <si>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</si>
  <si>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</si>
  <si>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</si>
  <si>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</si>
  <si>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</si>
  <si>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</si>
  <si>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</si>
  <si>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</si>
  <si>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</si>
  <si>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</si>
  <si>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</si>
  <si>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</si>
  <si>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</si>
  <si>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</si>
  <si>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</si>
  <si>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</si>
  <si>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</si>
  <si>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</si>
  <si>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</si>
  <si>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</si>
  <si>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</si>
  <si>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</si>
  <si>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</si>
  <si>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</si>
  <si>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</si>
  <si>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</si>
  <si>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</si>
  <si>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</si>
  <si>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</si>
  <si>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</si>
  <si>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</si>
  <si>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</si>
  <si>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</si>
  <si>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</si>
  <si>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</si>
  <si>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</si>
  <si>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</si>
  <si>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</si>
  <si>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</si>
  <si>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</si>
  <si>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</si>
  <si>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</si>
  <si>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</si>
  <si>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</si>
  <si>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</si>
  <si>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</si>
  <si>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</si>
  <si>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</si>
  <si>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</si>
  <si>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</si>
  <si>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</si>
  <si>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</si>
  <si>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</si>
  <si>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</si>
  <si>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</si>
  <si>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</si>
  <si>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</si>
  <si>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</si>
  <si>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</si>
  <si>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</si>
  <si>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</si>
  <si>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</si>
  <si>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</si>
  <si>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</si>
  <si>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</si>
  <si>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</si>
  <si>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</si>
  <si>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</si>
  <si>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</si>
  <si>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</si>
  <si>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</si>
  <si>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</si>
  <si>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</si>
  <si>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</si>
  <si>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</si>
  <si>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</si>
  <si>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</si>
  <si>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</si>
  <si>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</si>
  <si>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</si>
  <si>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</si>
  <si>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</si>
  <si>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</si>
  <si>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</si>
  <si>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</si>
  <si>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</si>
  <si>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</si>
  <si>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</si>
  <si>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</si>
  <si>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</si>
  <si>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</si>
  <si>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</si>
  <si>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</si>
  <si>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</si>
  <si>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</si>
  <si>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</si>
  <si>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</si>
  <si>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</si>
  <si>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</si>
  <si>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</si>
  <si>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</si>
  <si>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</si>
  <si>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</si>
  <si>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</si>
  <si>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</si>
  <si>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</si>
  <si>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</si>
  <si>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</si>
  <si>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</si>
  <si>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</si>
  <si>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</si>
  <si>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</si>
  <si>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</si>
  <si>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</si>
  <si>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</si>
  <si>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</si>
  <si>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</si>
  <si>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</si>
  <si>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</si>
  <si>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</si>
  <si>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</si>
  <si>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</si>
  <si>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</si>
  <si>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</si>
  <si>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</si>
  <si>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</si>
  <si>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</si>
  <si>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</si>
  <si>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</si>
  <si>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</si>
  <si>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</si>
  <si>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</si>
  <si>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</si>
  <si>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</si>
  <si>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</si>
  <si>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</si>
  <si>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</si>
  <si>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</si>
  <si>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</si>
  <si>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</si>
  <si>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</si>
  <si>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</si>
  <si>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</si>
  <si>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</si>
  <si>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</si>
  <si>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</si>
  <si>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</si>
  <si>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</si>
  <si>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</si>
  <si>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</si>
  <si>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</si>
  <si>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</si>
  <si>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</si>
  <si>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</si>
  <si>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</si>
  <si>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</si>
  <si>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</si>
  <si>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</si>
  <si>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</si>
  <si>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</si>
  <si>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</si>
  <si>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</si>
  <si>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</si>
  <si>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</si>
  <si>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</si>
  <si>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</si>
  <si>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</si>
  <si>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</si>
  <si>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</si>
  <si>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</si>
  <si>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</si>
  <si>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</si>
  <si>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</si>
  <si>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</si>
  <si>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</si>
  <si>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</si>
  <si>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</si>
  <si>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</si>
  <si>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</si>
  <si>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</si>
  <si>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</si>
  <si>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</si>
  <si>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</si>
  <si>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</si>
  <si>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</si>
  <si>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</si>
  <si>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</si>
  <si>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</si>
  <si>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</si>
  <si>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</si>
  <si>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</si>
  <si>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</si>
  <si>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</si>
  <si>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</si>
  <si>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</si>
  <si>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</si>
  <si>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</si>
  <si>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</si>
  <si>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</si>
  <si>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</si>
  <si>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</si>
  <si>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</si>
  <si>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</si>
  <si>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</si>
  <si>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</si>
  <si>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</si>
  <si>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</si>
  <si>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</si>
  <si>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</si>
  <si>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</si>
  <si>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</si>
  <si>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</si>
  <si>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</si>
  <si>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</si>
  <si>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</si>
  <si>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</si>
  <si>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</si>
  <si>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</si>
  <si>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</si>
  <si>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</si>
  <si>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</si>
  <si>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</si>
  <si>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</si>
  <si>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</si>
  <si>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</si>
  <si>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</si>
  <si>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</si>
  <si>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</si>
  <si>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</si>
  <si>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</si>
  <si>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</si>
  <si>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</si>
  <si>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</si>
  <si>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</si>
  <si>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</si>
  <si>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</si>
  <si>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</si>
  <si>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</si>
  <si>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</si>
  <si>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</si>
  <si>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</si>
  <si>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</si>
  <si>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</si>
  <si>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</si>
  <si>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</si>
  <si>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</si>
  <si>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</si>
  <si>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</si>
  <si>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</si>
  <si>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</si>
  <si>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</si>
  <si>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</si>
  <si>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</si>
  <si>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</si>
  <si>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</si>
  <si>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</si>
  <si>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</si>
  <si>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</si>
  <si>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</si>
  <si>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</si>
  <si>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</si>
  <si>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</si>
  <si>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</si>
  <si>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</si>
  <si>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</si>
  <si>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</si>
  <si>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</si>
  <si>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</si>
  <si>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</si>
  <si>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</si>
  <si>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</si>
  <si>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</si>
  <si>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</si>
  <si>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</si>
  <si>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</si>
  <si>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</si>
  <si>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</si>
  <si>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</si>
  <si>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</si>
  <si>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</si>
  <si>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</si>
  <si>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</si>
  <si>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</si>
  <si>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</si>
  <si>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</si>
  <si>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</si>
  <si>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</si>
  <si>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</si>
  <si>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</si>
  <si>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</si>
  <si>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</si>
  <si>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</si>
  <si>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</si>
  <si>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</si>
  <si>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</si>
  <si>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</si>
  <si>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</si>
  <si>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</si>
  <si>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</si>
  <si>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</si>
  <si>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</si>
  <si>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</si>
  <si>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</si>
  <si>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</si>
  <si>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</si>
  <si>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</si>
  <si>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</si>
  <si>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</si>
  <si>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</si>
  <si>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</si>
  <si>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</si>
  <si>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</si>
  <si>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</si>
  <si>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</si>
  <si>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</si>
  <si>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</si>
  <si>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</si>
  <si>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</si>
  <si>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</si>
  <si>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</si>
  <si>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</si>
  <si>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</si>
  <si>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</si>
  <si>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</si>
  <si>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</si>
  <si>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</si>
  <si>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</si>
  <si>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</si>
  <si>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</si>
  <si>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</si>
  <si>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</si>
  <si>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</si>
  <si>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</si>
  <si>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</si>
  <si>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</si>
  <si>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</si>
  <si>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</si>
  <si>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</si>
  <si>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</si>
  <si>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</si>
  <si>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</si>
  <si>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</si>
  <si>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</si>
  <si>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</si>
  <si>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</si>
  <si>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</si>
  <si>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</si>
  <si>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</si>
  <si>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</si>
  <si>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</si>
  <si>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</si>
  <si>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</si>
  <si>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</si>
  <si>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</si>
  <si>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</si>
  <si>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</si>
  <si>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</si>
  <si>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</si>
  <si>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</si>
  <si>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</si>
  <si>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</si>
  <si>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</si>
  <si>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</si>
  <si>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</si>
  <si>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</si>
  <si>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</si>
  <si>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</si>
  <si>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</si>
  <si>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</si>
  <si>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</si>
  <si>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</si>
  <si>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</si>
  <si>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</si>
  <si>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</si>
  <si>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</si>
  <si>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</si>
  <si>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</si>
  <si>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</si>
  <si>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</si>
  <si>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</si>
  <si>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</si>
  <si>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</si>
  <si>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</si>
  <si>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</si>
  <si>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</si>
  <si>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</si>
  <si>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</si>
  <si>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</si>
  <si>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</si>
  <si>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</si>
  <si>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</si>
  <si>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</si>
  <si>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</si>
  <si>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</si>
  <si>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</si>
  <si>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</si>
  <si>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</si>
  <si>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</si>
  <si>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</si>
  <si>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</si>
  <si>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</si>
  <si>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</si>
  <si>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</si>
  <si>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</si>
  <si>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</si>
  <si>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</si>
  <si>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</si>
  <si>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</si>
  <si>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</si>
  <si>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</si>
  <si>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</si>
  <si>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</si>
  <si>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</si>
  <si>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</si>
  <si>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</si>
  <si>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</si>
  <si>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</si>
  <si>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</si>
  <si>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</si>
  <si>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</si>
  <si>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</si>
  <si>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</si>
  <si>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</si>
  <si>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</si>
  <si>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</si>
  <si>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</si>
  <si>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</si>
  <si>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</si>
  <si>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</si>
  <si>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</si>
  <si>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</si>
  <si>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</si>
  <si>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</si>
  <si>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</si>
  <si>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</si>
  <si>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</si>
  <si>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</si>
  <si>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</si>
  <si>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</si>
  <si>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</si>
  <si>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</si>
  <si>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</si>
  <si>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</si>
  <si>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</si>
  <si>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</si>
  <si>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</si>
  <si>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</si>
  <si>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</si>
  <si>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</si>
  <si>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</si>
  <si>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</si>
  <si>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</si>
  <si>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</si>
  <si>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</si>
  <si>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</si>
  <si>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</si>
  <si>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</si>
  <si>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</si>
  <si>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</si>
  <si>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</si>
  <si>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</si>
  <si>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</si>
  <si>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</si>
  <si>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</si>
  <si>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</si>
  <si>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</si>
  <si>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</si>
  <si>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</si>
  <si>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</si>
  <si>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</si>
  <si>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</si>
  <si>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</si>
  <si>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</si>
  <si>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</si>
  <si>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</si>
  <si>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</si>
  <si>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</si>
  <si>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</si>
  <si>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</si>
  <si>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</si>
  <si>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</si>
  <si>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</si>
  <si>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</si>
  <si>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</si>
  <si>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</si>
  <si>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</si>
  <si>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</si>
  <si>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</si>
  <si>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</si>
  <si>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</si>
  <si>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</si>
  <si>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</si>
  <si>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</si>
  <si>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</si>
  <si>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</si>
  <si>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</si>
  <si>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</si>
  <si>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</si>
  <si>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</si>
  <si>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</si>
  <si>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</si>
  <si>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</si>
  <si>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</si>
  <si>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</si>
  <si>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</si>
  <si>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</si>
  <si>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</si>
  <si>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</si>
  <si>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</si>
  <si>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</si>
  <si>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</si>
  <si>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</si>
  <si>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</si>
  <si>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</si>
  <si>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</si>
  <si>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</si>
  <si>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</si>
  <si>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</si>
  <si>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</si>
  <si>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</si>
  <si>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</si>
  <si>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</si>
  <si>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</si>
  <si>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</si>
  <si>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</si>
  <si>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</si>
  <si>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</si>
  <si>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</si>
  <si>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</si>
  <si>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</si>
  <si>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</si>
  <si>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</si>
  <si>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</si>
  <si>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</si>
  <si>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</si>
  <si>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</si>
  <si>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</si>
  <si>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</si>
  <si>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</si>
  <si>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</si>
  <si>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</si>
  <si>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</si>
  <si>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</si>
  <si>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</si>
  <si>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</si>
  <si>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</si>
  <si>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</si>
  <si>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</si>
  <si>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</si>
  <si>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</si>
  <si>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</si>
  <si>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</si>
  <si>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</si>
  <si>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</si>
  <si>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</si>
  <si>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</si>
  <si>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</si>
  <si>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</si>
  <si>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</si>
  <si>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</si>
  <si>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</si>
  <si>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</si>
  <si>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</si>
  <si>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</si>
  <si>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</si>
  <si>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</si>
  <si>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</si>
  <si>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</si>
  <si>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</si>
  <si>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</si>
  <si>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</si>
  <si>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</si>
  <si>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</si>
  <si>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</si>
  <si>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</si>
  <si>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</si>
  <si>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</si>
  <si>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</si>
  <si>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</si>
  <si>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</si>
  <si>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</si>
  <si>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</si>
  <si>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</si>
  <si>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</si>
  <si>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</si>
  <si>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</si>
  <si>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</si>
  <si>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</si>
  <si>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</si>
  <si>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</si>
  <si>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</si>
  <si>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</si>
  <si>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</si>
  <si>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</si>
  <si>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</si>
  <si>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</si>
  <si>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</si>
  <si>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</si>
  <si>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</si>
  <si>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</si>
  <si>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</si>
  <si>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</si>
  <si>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</si>
  <si>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</si>
  <si>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</si>
  <si>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</si>
  <si>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</si>
  <si>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</si>
  <si>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</si>
  <si>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</si>
  <si>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</si>
  <si>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</si>
  <si>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</si>
  <si>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</si>
  <si>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</si>
  <si>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</si>
  <si>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</si>
  <si>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</si>
  <si>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</si>
  <si>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</si>
  <si>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</si>
  <si>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</si>
  <si>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</si>
  <si>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</si>
  <si>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</si>
  <si>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</si>
  <si>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</si>
  <si>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</si>
  <si>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</si>
  <si>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</si>
  <si>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</si>
  <si>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</si>
  <si>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</si>
  <si>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</si>
  <si>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</si>
  <si>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</si>
  <si>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</si>
  <si>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</si>
  <si>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</si>
  <si>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</si>
  <si>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</si>
  <si>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</si>
  <si>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</si>
  <si>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</si>
  <si>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</si>
  <si>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</si>
  <si>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</si>
  <si>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</si>
  <si>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</si>
  <si>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</si>
  <si>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</si>
  <si>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</si>
  <si>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</si>
  <si>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</si>
  <si>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</si>
  <si>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</si>
  <si>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</si>
  <si>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</si>
  <si>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</si>
  <si>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</si>
  <si>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</si>
  <si>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</si>
  <si>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</si>
  <si>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</si>
  <si>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</si>
  <si>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</si>
  <si>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</si>
  <si>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</si>
  <si>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</si>
  <si>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</si>
  <si>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</si>
  <si>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</si>
  <si>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</si>
  <si>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</si>
  <si>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</si>
  <si>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</si>
  <si>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</si>
  <si>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</si>
  <si>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</si>
  <si>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</si>
  <si>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</si>
  <si>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</si>
  <si>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</si>
  <si>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</si>
  <si>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</si>
  <si>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</si>
  <si>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</si>
  <si>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</si>
  <si>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</si>
  <si>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</si>
  <si>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</si>
  <si>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</si>
  <si>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</si>
  <si>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</si>
  <si>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</si>
  <si>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</si>
  <si>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</si>
  <si>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</si>
  <si>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</si>
  <si>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</si>
  <si>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</si>
  <si>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</si>
  <si>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</si>
  <si>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</si>
  <si>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</si>
  <si>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</si>
  <si>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</si>
  <si>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</si>
  <si>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</si>
  <si>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</si>
  <si>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</si>
  <si>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</si>
  <si>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</si>
  <si>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</si>
  <si>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</si>
  <si>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</si>
  <si>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</si>
  <si>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</si>
  <si>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</si>
  <si>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</si>
  <si>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</si>
  <si>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</si>
  <si>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</si>
  <si>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</si>
  <si>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</si>
  <si>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</si>
  <si>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</si>
  <si>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</si>
  <si>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</si>
  <si>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</si>
  <si>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</si>
  <si>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</si>
  <si>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</si>
  <si>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</si>
  <si>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</si>
  <si>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</si>
  <si>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</si>
  <si>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</si>
  <si>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</si>
  <si>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</si>
  <si>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</si>
  <si>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</si>
  <si>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</si>
  <si>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</si>
  <si>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</si>
  <si>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</si>
  <si>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</si>
  <si>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</si>
  <si>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</si>
  <si>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</si>
  <si>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</si>
  <si>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</si>
  <si>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</si>
  <si>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</si>
  <si>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</si>
  <si>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</si>
  <si>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</si>
  <si>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</si>
  <si>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</si>
  <si>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</si>
  <si>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</si>
  <si>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</si>
  <si>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</si>
  <si>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</si>
  <si>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</si>
  <si>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</si>
  <si>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</si>
  <si>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</si>
  <si>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</si>
  <si>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</si>
  <si>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</si>
  <si>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</si>
  <si>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</si>
  <si>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</si>
  <si>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</si>
  <si>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</si>
  <si>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</si>
  <si>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</si>
  <si>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</si>
  <si>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</si>
  <si>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</si>
  <si>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</si>
  <si>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</si>
  <si>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</si>
  <si>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</si>
  <si>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</si>
  <si>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</si>
  <si>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</si>
  <si>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</si>
  <si>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</si>
  <si>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</si>
  <si>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</si>
  <si>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</si>
  <si>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</si>
  <si>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</si>
  <si>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</si>
  <si>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</si>
  <si>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</si>
  <si>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</si>
  <si>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</si>
  <si>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</si>
  <si>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</si>
  <si>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</si>
  <si>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</si>
  <si>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</si>
  <si>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</si>
  <si>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</si>
  <si>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</si>
  <si>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</si>
  <si>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</si>
  <si>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</si>
  <si>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</si>
  <si>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</si>
  <si>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</si>
  <si>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</si>
  <si>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</si>
  <si>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</si>
  <si>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</si>
  <si>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</si>
  <si>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</si>
  <si>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</si>
  <si>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</si>
  <si>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</si>
  <si>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</si>
  <si>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</si>
  <si>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</si>
  <si>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</si>
  <si>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</si>
  <si>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</si>
  <si>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</si>
  <si>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</si>
  <si>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</si>
  <si>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</si>
  <si>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</si>
  <si>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</si>
  <si>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</si>
  <si>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</si>
  <si>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</si>
  <si>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</si>
  <si>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</si>
  <si>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</si>
  <si>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</si>
  <si>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</si>
  <si>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</si>
  <si>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</si>
  <si>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</si>
  <si>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</si>
  <si>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</si>
  <si>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</si>
  <si>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</si>
  <si>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</si>
  <si>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</si>
  <si>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</si>
  <si>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</si>
  <si>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</si>
  <si>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</si>
  <si>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</si>
  <si>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</si>
  <si>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</si>
  <si>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</si>
  <si>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</si>
  <si>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</si>
  <si>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</si>
  <si>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</si>
  <si>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</si>
  <si>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</si>
  <si>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</si>
  <si>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</si>
  <si>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</si>
  <si>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</si>
  <si>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</si>
  <si>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</si>
  <si>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</si>
  <si>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</si>
  <si>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</si>
  <si>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</si>
  <si>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</si>
  <si>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</si>
  <si>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</si>
  <si>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</si>
  <si>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</si>
  <si>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</si>
  <si>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</si>
  <si>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</si>
  <si>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</si>
  <si>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</si>
  <si>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</si>
  <si>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</si>
  <si>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</si>
  <si>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</si>
  <si>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</si>
  <si>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</si>
  <si>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</si>
  <si>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</si>
  <si>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</si>
  <si>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</si>
  <si>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</si>
  <si>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</si>
  <si>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</si>
  <si>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</si>
  <si>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</si>
  <si>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</si>
  <si>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</si>
  <si>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</si>
  <si>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</si>
  <si>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</si>
  <si>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</si>
  <si>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</si>
  <si>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</si>
  <si>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</si>
  <si>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</si>
  <si>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</si>
  <si>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</si>
  <si>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</si>
  <si>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</si>
  <si>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</si>
  <si>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</si>
  <si>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</si>
  <si>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</si>
  <si>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</si>
  <si>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</si>
  <si>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</si>
  <si>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</si>
  <si>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</si>
  <si>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</si>
  <si>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</si>
  <si>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</si>
  <si>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</si>
  <si>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</si>
  <si>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</si>
  <si>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</si>
  <si>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</si>
  <si>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</si>
  <si>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</si>
  <si>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</si>
  <si>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</si>
  <si>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</si>
  <si>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</si>
  <si>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</si>
  <si>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</si>
  <si>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</si>
  <si>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</si>
  <si>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</si>
  <si>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</si>
  <si>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</si>
  <si>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</si>
  <si>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</si>
  <si>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</si>
  <si>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</si>
  <si>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</si>
  <si>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</si>
  <si>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</si>
  <si>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</si>
  <si>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</si>
  <si>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</si>
  <si>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</si>
  <si>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</si>
  <si>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</si>
  <si>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</si>
  <si>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</si>
  <si>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</si>
  <si>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</si>
  <si>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</si>
  <si>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</si>
  <si>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</si>
  <si>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</si>
  <si>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</si>
  <si>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</si>
  <si>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</si>
  <si>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</si>
  <si>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</si>
  <si>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</si>
  <si>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</si>
  <si>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</si>
  <si>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</si>
  <si>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</si>
  <si>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</si>
  <si>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</si>
  <si>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</si>
  <si>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</si>
  <si>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</si>
  <si>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</si>
  <si>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</si>
  <si>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</si>
  <si>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</si>
  <si>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</si>
  <si>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</si>
  <si>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</si>
  <si>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</si>
  <si>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</si>
  <si>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</si>
  <si>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</si>
  <si>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</si>
  <si>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</si>
  <si>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</si>
  <si>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</si>
  <si>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</si>
  <si>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</si>
  <si>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</si>
  <si>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</si>
  <si>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</si>
  <si>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</si>
  <si>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</si>
  <si>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</si>
  <si>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</si>
  <si>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</si>
  <si>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</si>
  <si>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</si>
  <si>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</si>
  <si>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</si>
  <si>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</si>
  <si>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</si>
  <si>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</si>
  <si>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</si>
  <si>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</si>
  <si>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</si>
  <si>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</si>
  <si>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</si>
  <si>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</si>
  <si>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</si>
  <si>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</si>
  <si>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</si>
  <si>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</si>
  <si>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</si>
  <si>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</si>
  <si>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</si>
  <si>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</si>
  <si>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</si>
  <si>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</si>
  <si>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</si>
  <si>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</si>
  <si>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</si>
  <si>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</si>
  <si>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</si>
  <si>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</si>
  <si>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</si>
  <si>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</si>
  <si>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</si>
  <si>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</si>
  <si>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</si>
  <si>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</si>
  <si>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</si>
  <si>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</si>
  <si>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</si>
  <si>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</si>
  <si>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</si>
  <si>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</si>
  <si>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</si>
  <si>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</si>
  <si>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</si>
  <si>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</si>
  <si>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</si>
  <si>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</si>
  <si>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</si>
  <si>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</si>
  <si>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</si>
  <si>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</si>
  <si>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</si>
  <si>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</si>
  <si>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</si>
  <si>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</si>
  <si>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</si>
  <si>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</si>
  <si>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</si>
  <si>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</si>
  <si>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</si>
  <si>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</si>
  <si>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</si>
  <si>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</si>
  <si>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</si>
  <si>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</si>
  <si>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</si>
  <si>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</si>
  <si>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</si>
  <si>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</si>
  <si>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</si>
  <si>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</si>
  <si>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</si>
  <si>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</si>
  <si>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</si>
  <si>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</si>
  <si>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</si>
  <si>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</si>
  <si>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</si>
  <si>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</si>
  <si>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</si>
  <si>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</si>
  <si>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</si>
  <si>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</si>
  <si>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</si>
  <si>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</si>
  <si>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</si>
  <si>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</si>
  <si>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</si>
  <si>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</si>
  <si>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</si>
  <si>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</si>
  <si>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</si>
  <si>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</si>
  <si>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</si>
  <si>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</si>
  <si>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</si>
  <si>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</si>
  <si>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</si>
  <si>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</si>
  <si>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</si>
  <si>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</si>
  <si>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</si>
  <si>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</si>
  <si>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</si>
  <si>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</si>
  <si>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</si>
  <si>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</si>
  <si>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</si>
  <si>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</si>
  <si>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</si>
  <si>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</si>
  <si>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</si>
  <si>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</si>
  <si>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</si>
  <si>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</si>
  <si>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</si>
  <si>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</si>
  <si>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</si>
  <si>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</si>
  <si>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</si>
  <si>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</si>
  <si>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</si>
  <si>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</si>
  <si>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</si>
  <si>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</si>
  <si>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</si>
  <si>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</si>
  <si>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</si>
  <si>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</si>
  <si>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</si>
  <si>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</si>
  <si>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</si>
  <si>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</si>
  <si>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</si>
  <si>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</si>
  <si>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</si>
  <si>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</si>
  <si>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</si>
  <si>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</si>
  <si>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</si>
  <si>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</si>
  <si>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</si>
  <si>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</si>
  <si>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</si>
  <si>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</si>
  <si>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</si>
  <si>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</si>
  <si>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</si>
  <si>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</si>
  <si>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</si>
  <si>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</si>
  <si>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</si>
  <si>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</si>
  <si>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</si>
  <si>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</si>
  <si>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</si>
  <si>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</si>
  <si>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</si>
  <si>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</si>
  <si>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</si>
  <si>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</si>
  <si>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</si>
  <si>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</si>
  <si>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</si>
  <si>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</si>
  <si>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</si>
  <si>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</si>
  <si>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</si>
  <si>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</si>
  <si>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</si>
  <si>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</si>
  <si>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</si>
  <si>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</si>
  <si>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</si>
  <si>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</si>
  <si>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</si>
  <si>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</si>
  <si>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</si>
  <si>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</si>
  <si>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</si>
  <si>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</si>
  <si>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</si>
  <si>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</si>
  <si>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</si>
  <si>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</si>
  <si>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</si>
  <si>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</si>
  <si>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</si>
  <si>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</si>
  <si>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</si>
  <si>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</si>
  <si>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</si>
  <si>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</si>
  <si>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</si>
  <si>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</si>
  <si>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</si>
  <si>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</si>
  <si>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</si>
  <si>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</si>
  <si>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</si>
  <si>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</si>
  <si>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</si>
  <si>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</si>
  <si>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</si>
  <si>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</si>
  <si>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</si>
  <si>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</si>
  <si>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</si>
  <si>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</si>
  <si>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</si>
  <si>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</si>
  <si>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</si>
  <si>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</si>
  <si>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</si>
  <si>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</si>
  <si>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</si>
  <si>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</si>
  <si>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</si>
  <si>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</si>
  <si>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</si>
  <si>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</si>
  <si>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</si>
  <si>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</si>
  <si>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</si>
  <si>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</si>
  <si>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</si>
  <si>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</si>
  <si>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</si>
  <si>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</si>
  <si>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</si>
  <si>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</si>
  <si>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</si>
  <si>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</si>
  <si>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</si>
  <si>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</si>
  <si>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</si>
  <si>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</si>
  <si>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</si>
  <si>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</si>
  <si>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</si>
  <si>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</si>
  <si>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</si>
  <si>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</si>
  <si>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</si>
  <si>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</si>
  <si>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</si>
  <si>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</si>
  <si>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</si>
  <si>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</si>
  <si>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</si>
  <si>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</si>
  <si>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</si>
  <si>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</si>
  <si>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</si>
  <si>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</si>
  <si>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</si>
  <si>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</si>
  <si>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</si>
  <si>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</si>
  <si>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</si>
  <si>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</si>
  <si>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</si>
  <si>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</si>
  <si>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</si>
  <si>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</si>
  <si>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</si>
  <si>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</si>
  <si>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</si>
  <si>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</si>
  <si>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</si>
  <si>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</si>
  <si>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</si>
  <si>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</si>
  <si>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</si>
  <si>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</si>
  <si>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</si>
  <si>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</si>
  <si>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</si>
  <si>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</si>
  <si>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</si>
  <si>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</si>
  <si>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</si>
  <si>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</si>
  <si>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</si>
  <si>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</si>
  <si>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</si>
  <si>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</si>
  <si>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</si>
  <si>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</si>
  <si>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</si>
  <si>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</si>
  <si>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</si>
  <si>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</si>
  <si>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</si>
  <si>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</si>
  <si>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</si>
  <si>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</si>
  <si>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</si>
  <si>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</si>
  <si>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</si>
  <si>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</si>
  <si>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</si>
  <si>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</si>
  <si>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</si>
  <si>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</si>
  <si>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</si>
  <si>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</si>
  <si>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</si>
  <si>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</si>
  <si>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</si>
  <si>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</si>
  <si>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</si>
  <si>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</si>
  <si>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</si>
  <si>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</si>
  <si>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</si>
  <si>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</si>
  <si>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</si>
  <si>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</si>
  <si>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</si>
  <si>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</si>
  <si>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</si>
  <si>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</si>
  <si>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</si>
  <si>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</si>
  <si>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</si>
  <si>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</si>
  <si>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</si>
  <si>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</si>
  <si>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</si>
  <si>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</si>
  <si>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</si>
  <si>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</si>
  <si>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</si>
  <si>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</si>
  <si>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</si>
  <si>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</si>
  <si>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</si>
  <si>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</si>
  <si>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</si>
  <si>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</si>
  <si>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</si>
  <si>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</si>
  <si>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</si>
  <si>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</si>
  <si>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</si>
  <si>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</si>
  <si>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</si>
  <si>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</si>
  <si>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</si>
  <si>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</si>
  <si>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</si>
  <si>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</si>
  <si>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</si>
  <si>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</si>
  <si>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</si>
  <si>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</si>
  <si>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</si>
  <si>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</si>
  <si>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</si>
  <si>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</si>
  <si>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</si>
  <si>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</si>
  <si>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</si>
  <si>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</si>
  <si>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</si>
  <si>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</si>
  <si>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</si>
  <si>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</si>
  <si>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</si>
  <si>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</si>
  <si>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</si>
  <si>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</si>
  <si>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</si>
  <si>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</si>
  <si>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</si>
  <si>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</si>
  <si>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</si>
  <si>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</si>
  <si>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</si>
  <si>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</si>
  <si>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</si>
  <si>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</si>
  <si>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</si>
  <si>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</si>
  <si>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</si>
  <si>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</si>
  <si>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</si>
  <si>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</si>
  <si>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</si>
  <si>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</si>
  <si>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</si>
  <si>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</si>
  <si>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</si>
  <si>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</si>
  <si>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</si>
  <si>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</si>
  <si>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</si>
  <si>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</si>
  <si>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</si>
  <si>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</si>
  <si>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</si>
  <si>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</si>
  <si>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</si>
  <si>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</si>
  <si>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</si>
  <si>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</si>
  <si>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</si>
  <si>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</si>
  <si>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</si>
  <si>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</si>
  <si>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</si>
  <si>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</si>
  <si>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</si>
  <si>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</si>
  <si>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</si>
  <si>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</si>
  <si>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</si>
  <si>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</si>
  <si>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</si>
  <si>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</si>
  <si>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</si>
  <si>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</si>
  <si>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</si>
  <si>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</si>
  <si>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</si>
  <si>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</si>
  <si>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</si>
  <si>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</si>
  <si>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</si>
  <si>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</si>
  <si>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</si>
  <si>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</si>
  <si>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</si>
  <si>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</si>
  <si>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</si>
  <si>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</si>
  <si>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</si>
  <si>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</si>
  <si>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</si>
  <si>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</si>
  <si>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</si>
  <si>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</si>
  <si>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</si>
  <si>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</si>
  <si>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</si>
  <si>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</si>
  <si>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</si>
  <si>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</si>
  <si>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</si>
  <si>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</si>
  <si>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</si>
  <si>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</si>
  <si>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</si>
  <si>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</si>
  <si>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</si>
  <si>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</si>
  <si>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</si>
  <si>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</si>
  <si>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</si>
  <si>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</si>
  <si>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</si>
  <si>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</si>
  <si>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</si>
  <si>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</si>
  <si>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</si>
  <si>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</si>
  <si>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</si>
  <si>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</si>
  <si>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</si>
  <si>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</si>
  <si>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</si>
  <si>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</si>
  <si>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</si>
  <si>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</si>
  <si>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</si>
  <si>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</si>
  <si>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</si>
  <si>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</si>
  <si>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</si>
  <si>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</si>
  <si>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</si>
  <si>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</si>
  <si>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</si>
  <si>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</si>
  <si>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</si>
  <si>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</si>
  <si>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</si>
  <si>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</si>
  <si>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</si>
  <si>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</si>
  <si>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</si>
  <si>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</si>
  <si>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</si>
  <si>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</si>
  <si>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</si>
  <si>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</si>
  <si>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</si>
  <si>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</si>
  <si>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</si>
  <si>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</si>
  <si>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</si>
  <si>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</si>
  <si>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</si>
  <si>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</si>
  <si>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</si>
  <si>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</si>
  <si>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</si>
  <si>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</si>
  <si>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</si>
  <si>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</si>
  <si>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</si>
  <si>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</si>
  <si>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</si>
  <si>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</si>
  <si>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</si>
  <si>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</si>
  <si>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</si>
  <si>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</si>
  <si>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</si>
  <si>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</si>
  <si>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</si>
  <si>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</si>
  <si>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</si>
  <si>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</si>
  <si>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</si>
  <si>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</si>
  <si>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</si>
  <si>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</si>
  <si>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</si>
  <si>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</si>
  <si>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</si>
  <si>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</si>
  <si>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</si>
  <si>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</si>
  <si>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</si>
  <si>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</si>
  <si>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</si>
  <si>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</si>
  <si>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</si>
  <si>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</si>
  <si>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</si>
  <si>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</si>
  <si>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</si>
  <si>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</si>
  <si>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</si>
  <si>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</si>
  <si>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</si>
  <si>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</si>
  <si>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</si>
  <si>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</si>
  <si>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</si>
  <si>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</si>
  <si>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</si>
  <si>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</si>
  <si>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</si>
  <si>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</si>
  <si>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</si>
  <si>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</si>
  <si>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</si>
  <si>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</si>
  <si>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</si>
  <si>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</si>
  <si>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</si>
  <si>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</si>
  <si>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</si>
  <si>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</si>
  <si>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</si>
  <si>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</si>
  <si>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</si>
  <si>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</si>
  <si>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</si>
  <si>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</si>
  <si>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</si>
  <si>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</si>
  <si>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</si>
  <si>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</si>
  <si>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</si>
  <si>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</si>
  <si>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</si>
  <si>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</si>
  <si>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</si>
  <si>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</si>
  <si>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</si>
  <si>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</si>
  <si>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</si>
  <si>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</si>
  <si>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</si>
  <si>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</si>
  <si>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</si>
  <si>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</si>
  <si>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</si>
  <si>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</si>
  <si>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</si>
  <si>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</si>
  <si>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</si>
  <si>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</si>
  <si>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</si>
  <si>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</si>
  <si>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</si>
  <si>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</si>
  <si>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</si>
  <si>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</si>
  <si>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</si>
  <si>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</si>
  <si>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</si>
  <si>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</si>
  <si>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</si>
  <si>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</si>
  <si>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</si>
  <si>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</si>
  <si>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</si>
  <si>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</si>
  <si>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</si>
  <si>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</si>
  <si>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</si>
  <si>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</si>
  <si>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</si>
  <si>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</si>
  <si>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</si>
  <si>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</si>
  <si>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</si>
  <si>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</si>
  <si>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</si>
  <si>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</si>
  <si>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</si>
  <si>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</si>
  <si>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</si>
  <si>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</si>
  <si>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</si>
  <si>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</si>
  <si>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</si>
  <si>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</si>
  <si>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</si>
  <si>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</si>
  <si>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</si>
  <si>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</si>
  <si>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</si>
  <si>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</si>
  <si>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</si>
  <si>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</si>
  <si>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</si>
  <si>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</si>
  <si>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</si>
  <si>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</si>
  <si>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</si>
  <si>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</si>
  <si>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</si>
  <si>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</si>
  <si>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</si>
  <si>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</si>
  <si>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</si>
  <si>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</si>
  <si>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</si>
  <si>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</si>
  <si>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</si>
  <si>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</si>
  <si>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</si>
  <si>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</si>
  <si>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</si>
  <si>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</si>
  <si>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</si>
  <si>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</si>
  <si>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</si>
  <si>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</si>
  <si>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</si>
  <si>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</si>
  <si>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</si>
  <si>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</si>
  <si>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</si>
  <si>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</si>
  <si>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</si>
  <si>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</si>
  <si>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</si>
  <si>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</si>
  <si>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</si>
  <si>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</si>
  <si>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</si>
  <si>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</si>
  <si>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</si>
  <si>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</si>
  <si>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</si>
  <si>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</si>
  <si>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</si>
  <si>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</si>
  <si>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</si>
  <si>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</si>
  <si>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</si>
  <si>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</si>
  <si>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</si>
  <si>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</si>
  <si>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</si>
  <si>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</si>
  <si>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</si>
  <si>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</si>
  <si>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</si>
  <si>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</si>
  <si>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</si>
  <si>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</si>
  <si>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</si>
  <si>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</si>
  <si>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</si>
  <si>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</si>
  <si>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</si>
  <si>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</si>
  <si>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</si>
  <si>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</si>
  <si>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</si>
  <si>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</si>
  <si>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</si>
  <si>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</si>
  <si>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</si>
  <si>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</si>
  <si>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</si>
  <si>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</si>
  <si>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</si>
  <si>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</si>
  <si>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</si>
  <si>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</si>
  <si>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</si>
  <si>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</si>
  <si>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</si>
  <si>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</si>
  <si>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</si>
  <si>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</si>
  <si>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</si>
  <si>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</si>
  <si>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</si>
  <si>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</si>
  <si>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</si>
  <si>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</si>
  <si>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</si>
  <si>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</si>
  <si>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</si>
  <si>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</si>
  <si>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</si>
  <si>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</si>
  <si>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</si>
  <si>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</si>
  <si>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</si>
  <si>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</si>
  <si>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</si>
  <si>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</si>
  <si>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</si>
  <si>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</si>
  <si>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</si>
  <si>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</si>
  <si>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</si>
  <si>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</si>
  <si>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</si>
  <si>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</si>
  <si>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</si>
  <si>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</si>
  <si>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</si>
  <si>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</si>
  <si>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</si>
  <si>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</si>
  <si>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</si>
  <si>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</si>
  <si>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</si>
  <si>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</si>
  <si>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</si>
  <si>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</si>
  <si>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</si>
  <si>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</si>
  <si>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</si>
  <si>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</si>
  <si>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</si>
  <si>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</si>
  <si>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</si>
  <si>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</si>
  <si>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</si>
  <si>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</si>
  <si>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</si>
  <si>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</si>
  <si>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</si>
  <si>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</si>
  <si>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</si>
  <si>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</si>
  <si>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</si>
  <si>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</si>
  <si>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</si>
  <si>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</si>
  <si>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</si>
  <si>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</si>
  <si>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</si>
  <si>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</si>
  <si>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</si>
  <si>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</si>
  <si>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</si>
  <si>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</si>
  <si>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</si>
  <si>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</si>
  <si>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</si>
  <si>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</si>
  <si>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</si>
  <si>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</si>
  <si>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</si>
  <si>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</si>
  <si>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</si>
  <si>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</si>
  <si>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</si>
  <si>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</si>
  <si>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</si>
  <si>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</si>
  <si>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</si>
  <si>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</si>
  <si>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</si>
  <si>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</si>
  <si>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</si>
  <si>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</si>
  <si>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</si>
  <si>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</si>
  <si>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</si>
  <si>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</si>
  <si>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</si>
  <si>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</si>
  <si>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</si>
  <si>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</si>
  <si>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</si>
  <si>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</si>
  <si>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</si>
  <si>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</si>
  <si>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</si>
  <si>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</si>
  <si>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</si>
  <si>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</si>
  <si>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</si>
  <si>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</si>
  <si>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</si>
  <si>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</si>
  <si>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</si>
  <si>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</si>
  <si>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</si>
  <si>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</si>
  <si>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</si>
  <si>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</si>
  <si>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</si>
  <si>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</si>
  <si>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</si>
  <si>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</si>
  <si>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</si>
  <si>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</si>
  <si>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</si>
  <si>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</si>
  <si>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</si>
  <si>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</si>
  <si>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</si>
  <si>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</si>
  <si>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</si>
  <si>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</si>
  <si>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</si>
  <si>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</si>
  <si>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</si>
  <si>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</si>
  <si>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</si>
  <si>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</si>
  <si>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</si>
  <si>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</si>
  <si>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</si>
  <si>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</si>
  <si>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</si>
  <si>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</si>
  <si>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</si>
  <si>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</si>
  <si>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</si>
  <si>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</si>
  <si>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</si>
  <si>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</si>
  <si>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</si>
  <si>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</si>
  <si>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</si>
  <si>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</si>
  <si>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</si>
  <si>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</si>
  <si>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</si>
  <si>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</si>
  <si>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</si>
  <si>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</si>
  <si>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</si>
  <si>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</si>
  <si>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</si>
  <si>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</si>
  <si>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</si>
  <si>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</si>
  <si>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</si>
  <si>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</si>
  <si>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</si>
  <si>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</si>
  <si>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</si>
  <si>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</si>
  <si>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</si>
  <si>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</si>
  <si>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</si>
  <si>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</si>
  <si>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</si>
  <si>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</si>
  <si>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</si>
  <si>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</si>
  <si>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</si>
  <si>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</si>
  <si>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</si>
  <si>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</si>
  <si>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</si>
  <si>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</si>
  <si>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</si>
  <si>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</si>
  <si>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</si>
  <si>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</si>
  <si>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</si>
  <si>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</si>
  <si>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</si>
  <si>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</si>
  <si>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</si>
  <si>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</si>
  <si>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</si>
  <si>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</si>
  <si>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</si>
  <si>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</si>
  <si>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</si>
  <si>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</si>
  <si>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</si>
  <si>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</si>
  <si>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</si>
  <si>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</si>
  <si>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</si>
  <si>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</si>
  <si>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</si>
  <si>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</si>
  <si>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</si>
  <si>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</si>
  <si>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</si>
  <si>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</si>
  <si>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</si>
  <si>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</si>
  <si>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</si>
  <si>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</si>
  <si>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</si>
  <si>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</si>
  <si>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</si>
  <si>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</si>
  <si>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</si>
  <si>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</si>
  <si>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</si>
  <si>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</si>
  <si>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</si>
  <si>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</si>
  <si>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</si>
  <si>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</si>
  <si>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</si>
  <si>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</si>
  <si>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</si>
  <si>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</si>
  <si>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</si>
  <si>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</si>
  <si>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</si>
  <si>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</si>
  <si>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</si>
  <si>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</si>
  <si>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</si>
  <si>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</si>
  <si>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</si>
  <si>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</si>
  <si>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</si>
  <si>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</si>
  <si>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</si>
  <si>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</si>
  <si>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</si>
  <si>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</si>
  <si>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</si>
  <si>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</si>
  <si>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</si>
  <si>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</si>
  <si>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</si>
  <si>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</si>
  <si>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</si>
  <si>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</si>
  <si>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</si>
  <si>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</si>
  <si>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</si>
  <si>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</si>
  <si>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</si>
  <si>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</si>
  <si>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</si>
  <si>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</si>
  <si>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</si>
  <si>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</si>
  <si>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</si>
  <si>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</si>
  <si>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</si>
  <si>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</si>
  <si>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</si>
  <si>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</si>
  <si>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</si>
  <si>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</si>
  <si>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</si>
  <si>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</si>
  <si>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</si>
  <si>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</si>
  <si>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</si>
  <si>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</si>
  <si>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</si>
  <si>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</si>
  <si>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</si>
  <si>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</si>
  <si>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</si>
  <si>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</si>
  <si>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</si>
  <si>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</si>
  <si>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</si>
  <si>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</si>
  <si>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</si>
  <si>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</si>
  <si>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</si>
  <si>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</si>
  <si>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</si>
  <si>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</si>
  <si>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</si>
  <si>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</si>
  <si>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</si>
  <si>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</si>
  <si>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</si>
  <si>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</si>
  <si>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</si>
  <si>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</si>
  <si>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</si>
  <si>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</si>
  <si>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</si>
  <si>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</si>
  <si>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</si>
  <si>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</si>
  <si>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</si>
  <si>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</si>
  <si>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</si>
  <si>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</si>
  <si>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</si>
  <si>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</si>
  <si>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</si>
  <si>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</si>
  <si>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</si>
  <si>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</si>
  <si>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</si>
  <si>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</si>
  <si>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</si>
  <si>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</si>
  <si>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</si>
  <si>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</si>
  <si>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</si>
  <si>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</si>
  <si>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</si>
  <si>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</si>
  <si>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</si>
  <si>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</si>
  <si>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</si>
  <si>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</si>
  <si>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</si>
  <si>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</si>
  <si>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</si>
  <si>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</si>
  <si>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</si>
  <si>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</si>
  <si>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</si>
  <si>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</si>
  <si>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</si>
  <si>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</si>
  <si>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</si>
  <si>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</si>
  <si>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</si>
  <si>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</si>
  <si>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</si>
  <si>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</si>
  <si>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</si>
  <si>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</si>
  <si>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</si>
  <si>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</si>
  <si>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</si>
  <si>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</si>
  <si>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</si>
  <si>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</si>
  <si>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</si>
  <si>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</si>
  <si>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</si>
  <si>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</si>
  <si>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</si>
  <si>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</si>
  <si>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</si>
  <si>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</si>
  <si>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</si>
  <si>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</si>
  <si>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</si>
  <si>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</si>
  <si>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</si>
  <si>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</si>
  <si>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</si>
  <si>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</si>
  <si>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</si>
  <si>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</si>
  <si>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</si>
  <si>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</si>
  <si>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</si>
  <si>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</si>
  <si>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</si>
  <si>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</si>
  <si>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</si>
  <si>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</si>
  <si>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</si>
  <si>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</si>
  <si>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</si>
  <si>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</si>
  <si>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</si>
  <si>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</si>
  <si>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</si>
  <si>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</si>
  <si>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</si>
  <si>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</si>
  <si>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</si>
  <si>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</si>
  <si>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</si>
  <si>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</si>
  <si>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</si>
  <si>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</si>
  <si>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</si>
  <si>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</si>
  <si>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</si>
  <si>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</si>
  <si>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</si>
  <si>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</si>
  <si>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</si>
  <si>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</si>
  <si>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</si>
  <si>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</si>
  <si>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</si>
  <si>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</si>
  <si>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</si>
  <si>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</si>
  <si>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</si>
  <si>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</si>
  <si>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</si>
  <si>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</si>
  <si>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</si>
  <si>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</si>
  <si>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</si>
  <si>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</si>
  <si>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</si>
  <si>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</si>
  <si>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</si>
  <si>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</si>
  <si>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</si>
  <si>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</si>
  <si>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</si>
  <si>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</si>
  <si>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</si>
  <si>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</si>
  <si>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</si>
  <si>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</si>
  <si>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</si>
  <si>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</si>
  <si>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</si>
  <si>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</si>
  <si>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</si>
  <si>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</si>
  <si>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</si>
  <si>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</si>
  <si>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</si>
  <si>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</si>
  <si>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</si>
  <si>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</si>
  <si>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</si>
  <si>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</si>
  <si>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</si>
  <si>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</si>
  <si>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</si>
  <si>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</si>
  <si>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</si>
  <si>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</si>
  <si>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</si>
  <si>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</si>
  <si>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</si>
  <si>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</si>
  <si>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</si>
  <si>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</si>
  <si>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</si>
  <si>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</si>
  <si>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</si>
  <si>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</si>
  <si>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</si>
  <si>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</si>
  <si>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</si>
  <si>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</si>
  <si>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</si>
  <si>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</si>
  <si>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</si>
  <si>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</si>
  <si>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</si>
  <si>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</si>
  <si>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</si>
  <si>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</si>
  <si>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</si>
  <si>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</si>
  <si>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</si>
  <si>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</si>
  <si>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</si>
  <si>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</si>
  <si>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</si>
  <si>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</si>
  <si>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</si>
  <si>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</si>
  <si>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</si>
  <si>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</si>
  <si>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</si>
  <si>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</si>
  <si>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</si>
  <si>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</si>
  <si>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</si>
  <si>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</si>
  <si>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</si>
  <si>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</si>
  <si>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</si>
  <si>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</si>
  <si>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</si>
  <si>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</si>
  <si>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</si>
  <si>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</si>
  <si>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</si>
  <si>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</si>
  <si>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</si>
  <si>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</si>
  <si>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</si>
  <si>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</si>
  <si>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</si>
  <si>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</si>
  <si>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</si>
  <si>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</si>
  <si>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</si>
  <si>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</si>
  <si>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</si>
  <si>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</si>
  <si>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</si>
  <si>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</si>
  <si>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</si>
  <si>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</si>
  <si>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</si>
  <si>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</si>
  <si>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</si>
  <si>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</si>
  <si>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</si>
  <si>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</si>
  <si>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</si>
  <si>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</si>
  <si>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</si>
  <si>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</si>
  <si>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</si>
  <si>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</si>
  <si>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</si>
  <si>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</si>
  <si>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</si>
  <si>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</si>
  <si>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</si>
  <si>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</si>
  <si>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</si>
  <si>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</si>
  <si>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</si>
  <si>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</si>
  <si>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</si>
  <si>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</si>
  <si>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</si>
  <si>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</si>
  <si>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</si>
  <si>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</si>
  <si>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</si>
  <si>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</si>
  <si>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</si>
  <si>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</si>
  <si>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</si>
  <si>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</si>
  <si>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</si>
  <si>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</si>
  <si>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</si>
  <si>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</si>
  <si>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</si>
  <si>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</si>
  <si>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</si>
  <si>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</si>
  <si>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</si>
  <si>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</si>
  <si>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</si>
  <si>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</si>
  <si>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</si>
  <si>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</si>
  <si>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</si>
  <si>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</si>
  <si>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</si>
  <si>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</si>
  <si>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</si>
  <si>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</si>
  <si>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</si>
  <si>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</si>
  <si>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</si>
  <si>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</si>
  <si>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</si>
  <si>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</si>
  <si>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</si>
  <si>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</si>
  <si>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</si>
  <si>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</si>
  <si>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</si>
  <si>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</si>
  <si>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</si>
  <si>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</si>
  <si>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</si>
  <si>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</si>
  <si>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</si>
  <si>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</si>
  <si>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</si>
  <si>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</si>
  <si>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</si>
  <si>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</si>
  <si>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</si>
  <si>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</si>
  <si>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</si>
  <si>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</si>
  <si>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</si>
  <si>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</si>
  <si>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</si>
  <si>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</si>
  <si>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</si>
  <si>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</si>
  <si>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</si>
  <si>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</si>
  <si>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</si>
  <si>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</si>
  <si>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</si>
  <si>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</si>
  <si>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</si>
  <si>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</si>
  <si>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</si>
  <si>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</si>
  <si>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</si>
  <si>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</si>
  <si>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</si>
  <si>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</si>
  <si>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</si>
  <si>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</si>
  <si>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</si>
  <si>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</si>
  <si>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</si>
  <si>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</si>
  <si>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</si>
  <si>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</si>
  <si>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</si>
  <si>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</si>
  <si>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</si>
  <si>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</si>
  <si>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</si>
  <si>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</si>
  <si>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</si>
  <si>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</si>
  <si>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</si>
  <si>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</si>
  <si>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</si>
  <si>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</si>
  <si>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</si>
  <si>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</si>
  <si>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</si>
  <si>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</si>
  <si>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</si>
  <si>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</si>
  <si>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</si>
  <si>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</si>
  <si>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</si>
  <si>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</si>
  <si>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</si>
  <si>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</si>
  <si>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</si>
  <si>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</si>
  <si>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</si>
  <si>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</si>
  <si>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</si>
  <si>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</si>
  <si>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</si>
  <si>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</si>
  <si>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</si>
  <si>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</si>
  <si>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</si>
  <si>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</si>
  <si>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</si>
  <si>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</si>
  <si>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</si>
  <si>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</si>
  <si>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</si>
  <si>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</si>
  <si>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</si>
  <si>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</si>
  <si>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</si>
  <si>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</si>
  <si>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</si>
  <si>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</si>
  <si>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</si>
  <si>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</si>
  <si>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</si>
  <si>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</si>
  <si>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</si>
  <si>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</si>
  <si>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</si>
  <si>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</si>
  <si>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</si>
  <si>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</si>
  <si>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</si>
  <si>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</si>
  <si>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</si>
  <si>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</si>
  <si>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</si>
  <si>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</si>
  <si>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</si>
  <si>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</si>
  <si>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</si>
  <si>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</si>
  <si>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</si>
  <si>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</si>
  <si>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</si>
  <si>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</si>
  <si>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</si>
  <si>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</si>
  <si>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</si>
  <si>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</si>
  <si>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</si>
  <si>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</si>
  <si>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</si>
  <si>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</si>
  <si>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</si>
  <si>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</si>
  <si>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</si>
  <si>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</si>
  <si>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</si>
  <si>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</si>
  <si>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</si>
  <si>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</si>
  <si>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</si>
  <si>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</si>
  <si>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</si>
  <si>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</si>
  <si>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</si>
  <si>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</si>
  <si>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</si>
  <si>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</si>
  <si>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</si>
  <si>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</si>
  <si>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</si>
  <si>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</si>
  <si>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</si>
  <si>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</si>
  <si>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</si>
  <si>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</si>
  <si>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</si>
  <si>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</si>
  <si>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</si>
  <si>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</si>
  <si>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</si>
  <si>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</si>
  <si>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</si>
  <si>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</si>
  <si>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</si>
  <si>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</si>
  <si>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</si>
  <si>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</si>
  <si>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</si>
  <si>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</si>
  <si>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</si>
  <si>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</si>
  <si>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</si>
  <si>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</si>
  <si>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</si>
  <si>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</si>
  <si>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</si>
  <si>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</si>
  <si>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</si>
  <si>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</si>
  <si>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</si>
  <si>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</si>
  <si>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</si>
  <si>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</si>
  <si>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</si>
  <si>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</si>
  <si>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</si>
  <si>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</si>
  <si>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</si>
  <si>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</si>
  <si>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</si>
  <si>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</si>
  <si>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</si>
  <si>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</si>
  <si>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</si>
  <si>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</si>
  <si>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</si>
  <si>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</si>
  <si>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</si>
  <si>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</si>
  <si>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</si>
  <si>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</si>
  <si>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</si>
  <si>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</si>
  <si>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</si>
  <si>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</si>
  <si>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</si>
  <si>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</si>
  <si>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</si>
  <si>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</si>
  <si>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</si>
  <si>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</si>
  <si>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</si>
  <si>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</si>
  <si>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</si>
  <si>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</si>
  <si>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</si>
  <si>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</si>
  <si>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</si>
  <si>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</si>
  <si>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</si>
  <si>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</si>
  <si>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</si>
  <si>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</si>
  <si>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</si>
  <si>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</si>
  <si>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</si>
  <si>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</si>
  <si>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</si>
  <si>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</si>
  <si>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</si>
  <si>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</si>
  <si>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</si>
  <si>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</si>
  <si>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</si>
  <si>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</si>
  <si>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</si>
  <si>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</si>
  <si>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</si>
  <si>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</si>
  <si>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</si>
  <si>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</si>
  <si>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</si>
  <si>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</si>
  <si>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</si>
  <si>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</si>
  <si>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</si>
  <si>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</si>
  <si>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</si>
  <si>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</si>
  <si>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</si>
  <si>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</si>
  <si>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</si>
  <si>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</si>
  <si>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</si>
  <si>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</si>
  <si>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</si>
  <si>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</si>
  <si>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</si>
  <si>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</si>
  <si>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</si>
  <si>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</si>
  <si>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</si>
  <si>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</si>
  <si>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</si>
  <si>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</si>
  <si>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</si>
  <si>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</si>
  <si>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</si>
  <si>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</si>
  <si>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</si>
  <si>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</si>
  <si>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</si>
  <si>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</si>
  <si>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</si>
  <si>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</si>
  <si>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</si>
  <si>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</si>
  <si>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</si>
  <si>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</si>
  <si>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</si>
  <si>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</si>
  <si>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</si>
  <si>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</si>
  <si>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</si>
  <si>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</si>
  <si>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</si>
  <si>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</si>
  <si>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</si>
  <si>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</si>
  <si>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</si>
  <si>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</si>
  <si>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</si>
  <si>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</si>
  <si>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</si>
  <si>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</si>
  <si>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</si>
  <si>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</si>
  <si>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</si>
  <si>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</si>
  <si>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</si>
  <si>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</si>
  <si>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</si>
  <si>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</si>
  <si>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</si>
  <si>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</si>
  <si>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</si>
  <si>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</si>
  <si>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</si>
  <si>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</si>
  <si>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</si>
  <si>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</si>
  <si>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</si>
  <si>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</si>
  <si>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</si>
  <si>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</si>
  <si>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</si>
  <si>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</si>
  <si>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</si>
  <si>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</si>
  <si>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</si>
  <si>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</si>
  <si>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</si>
  <si>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</si>
  <si>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</si>
  <si>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</si>
  <si>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</si>
  <si>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</si>
  <si>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</si>
  <si>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</si>
  <si>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</si>
  <si>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</si>
  <si>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</si>
  <si>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</si>
  <si>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</si>
  <si>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</si>
  <si>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</si>
  <si>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</si>
  <si>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</si>
  <si>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</si>
  <si>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</si>
  <si>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</si>
  <si>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</si>
  <si>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</si>
  <si>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</si>
  <si>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</si>
  <si>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</si>
  <si>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</si>
  <si>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</si>
  <si>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</si>
  <si>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</si>
  <si>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</si>
  <si>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</si>
  <si>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</si>
  <si>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</si>
  <si>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</si>
  <si>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</si>
  <si>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</si>
  <si>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</si>
  <si>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</si>
  <si>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</si>
  <si>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</si>
  <si>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</si>
  <si>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</si>
  <si>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</si>
  <si>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</si>
  <si>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</si>
  <si>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</si>
  <si>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</si>
  <si>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</si>
  <si>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</si>
  <si>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</si>
  <si>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</si>
  <si>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</si>
  <si>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</si>
  <si>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</si>
  <si>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</si>
  <si>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</si>
  <si>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</si>
  <si>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</si>
  <si>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</si>
  <si>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</si>
  <si>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</si>
  <si>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</si>
  <si>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</si>
  <si>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</si>
  <si>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</si>
  <si>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</si>
  <si>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</si>
  <si>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</si>
  <si>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</si>
  <si>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</si>
  <si>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</si>
  <si>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</si>
  <si>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</si>
  <si>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</si>
  <si>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</si>
  <si>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</si>
  <si>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</si>
  <si>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</si>
  <si>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</si>
  <si>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</si>
  <si>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</si>
  <si>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</si>
  <si>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</si>
  <si>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</si>
  <si>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</si>
  <si>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</si>
  <si>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</si>
  <si>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</si>
  <si>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</si>
  <si>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</si>
  <si>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</si>
  <si>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</si>
  <si>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</si>
  <si>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</si>
  <si>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</si>
  <si>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</si>
  <si>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</si>
  <si>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</si>
  <si>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</si>
  <si>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</si>
  <si>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</si>
  <si>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</si>
  <si>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</si>
  <si>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</si>
  <si>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</si>
  <si>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</si>
  <si>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</si>
  <si>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</si>
  <si>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</si>
  <si>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</si>
  <si>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</si>
  <si>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</si>
  <si>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</si>
  <si>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</si>
  <si>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</si>
  <si>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</si>
  <si>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</si>
  <si>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</si>
  <si>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</si>
  <si>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</si>
  <si>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</si>
  <si>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</si>
  <si>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</si>
  <si>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</si>
  <si>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</si>
  <si>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</si>
  <si>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</si>
  <si>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</si>
  <si>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</si>
  <si>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</si>
  <si>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</si>
  <si>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</si>
  <si>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</si>
  <si>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</si>
  <si>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</si>
  <si>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</si>
  <si>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</si>
  <si>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</si>
  <si>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</si>
  <si>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</si>
  <si>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</si>
  <si>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</si>
  <si>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</si>
  <si>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</si>
  <si>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</si>
  <si>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</si>
  <si>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</si>
  <si>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</si>
  <si>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</si>
  <si>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</si>
  <si>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</si>
  <si>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</si>
  <si>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</si>
  <si>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</si>
  <si>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</si>
  <si>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</si>
  <si>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</si>
  <si>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</si>
  <si>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</si>
  <si>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</si>
  <si>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</si>
  <si>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</si>
  <si>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</si>
  <si>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</si>
  <si>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</si>
  <si>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</si>
  <si>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</si>
  <si>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</si>
  <si>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</si>
  <si>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</si>
  <si>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</si>
  <si>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</si>
  <si>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</si>
  <si>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</si>
  <si>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</si>
  <si>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</si>
  <si>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</si>
  <si>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</si>
  <si>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</si>
  <si>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</si>
  <si>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</si>
  <si>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</si>
  <si>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</si>
  <si>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</si>
  <si>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</si>
  <si>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</si>
  <si>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</si>
  <si>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</si>
  <si>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</si>
  <si>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</si>
  <si>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</si>
  <si>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</si>
  <si>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</si>
  <si>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</si>
  <si>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</si>
  <si>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</si>
  <si>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</si>
  <si>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</si>
  <si>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</si>
  <si>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</si>
  <si>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</si>
  <si>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</si>
  <si>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</si>
  <si>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</si>
  <si>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</si>
  <si>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</si>
  <si>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</si>
  <si>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</si>
  <si>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</si>
  <si>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</si>
  <si>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</si>
  <si>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</si>
  <si>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</si>
  <si>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</si>
  <si>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</si>
  <si>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</si>
  <si>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</si>
  <si>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</si>
  <si>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</si>
  <si>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</si>
  <si>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</si>
  <si>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</si>
  <si>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</si>
  <si>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</si>
  <si>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</si>
  <si>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</si>
  <si>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</si>
  <si>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</si>
  <si>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</si>
  <si>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</si>
  <si>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</si>
  <si>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</si>
  <si>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</si>
  <si>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</si>
  <si>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</si>
  <si>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</si>
  <si>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</si>
  <si>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</si>
  <si>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</si>
  <si>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</si>
  <si>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</si>
  <si>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</si>
  <si>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</si>
  <si>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</si>
  <si>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</si>
  <si>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</si>
  <si>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</si>
  <si>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</si>
  <si>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</si>
  <si>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</si>
  <si>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</si>
  <si>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</si>
  <si>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</si>
  <si>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</si>
  <si>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</si>
  <si>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</si>
  <si>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</si>
  <si>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</si>
  <si>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</si>
  <si>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</si>
  <si>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</si>
  <si>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</si>
  <si>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</si>
  <si>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</si>
  <si>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</si>
  <si>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</si>
  <si>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</si>
  <si>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</si>
  <si>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</si>
  <si>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</si>
  <si>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</si>
  <si>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</si>
  <si>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</si>
  <si>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</si>
  <si>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</si>
  <si>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</si>
  <si>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</si>
  <si>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</si>
  <si>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</si>
  <si>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</si>
  <si>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</si>
  <si>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</si>
  <si>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</si>
  <si>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</si>
  <si>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</si>
  <si>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</si>
  <si>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</si>
  <si>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</si>
  <si>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</si>
  <si>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</si>
  <si>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</si>
  <si>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</si>
  <si>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</si>
  <si>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</si>
  <si>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</si>
  <si>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</si>
  <si>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</si>
  <si>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</si>
  <si>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</si>
  <si>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</si>
  <si>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</si>
  <si>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</si>
  <si>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</si>
  <si>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</si>
  <si>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</si>
  <si>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</si>
  <si>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</si>
  <si>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</si>
  <si>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</si>
  <si>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</si>
  <si>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</si>
  <si>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</si>
  <si>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</si>
  <si>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</si>
  <si>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</si>
  <si>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</si>
  <si>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</si>
  <si>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</si>
  <si>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</si>
  <si>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</si>
  <si>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</si>
  <si>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</si>
  <si>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</si>
  <si>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</si>
  <si>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</si>
  <si>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</si>
  <si>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</si>
  <si>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</si>
  <si>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</si>
  <si>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</si>
  <si>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</si>
  <si>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</si>
  <si>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</si>
  <si>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</si>
  <si>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</si>
  <si>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</si>
  <si>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</si>
  <si>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</si>
  <si>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</si>
  <si>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</si>
  <si>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</si>
  <si>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</si>
  <si>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</si>
  <si>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</si>
  <si>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</si>
  <si>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</si>
  <si>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</si>
  <si>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</si>
  <si>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</si>
  <si>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</si>
  <si>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</si>
  <si>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</si>
  <si>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</si>
  <si>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</si>
  <si>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</si>
  <si>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</si>
  <si>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</si>
  <si>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</si>
  <si>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</si>
  <si>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</si>
  <si>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</si>
  <si>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</si>
  <si>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</si>
  <si>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</si>
  <si>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</si>
  <si>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</si>
  <si>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</si>
  <si>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</si>
  <si>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</si>
  <si>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</si>
  <si>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</si>
  <si>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</si>
  <si>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</si>
  <si>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</si>
  <si>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</si>
  <si>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</si>
  <si>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</si>
  <si>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</si>
  <si>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</si>
  <si>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</si>
  <si>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</si>
  <si>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</si>
  <si>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</si>
  <si>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</si>
  <si>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</si>
  <si>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</si>
  <si>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</si>
  <si>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</si>
  <si>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</si>
  <si>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</si>
  <si>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</si>
  <si>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</si>
  <si>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</si>
  <si>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</si>
  <si>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</si>
  <si>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</si>
  <si>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</si>
  <si>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</si>
  <si>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</si>
  <si>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</si>
  <si>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</si>
  <si>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</si>
  <si>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</si>
  <si>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</si>
  <si>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</si>
  <si>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</si>
  <si>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</si>
  <si>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</si>
  <si>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</si>
  <si>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</si>
  <si>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</si>
  <si>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</si>
  <si>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</si>
  <si>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</si>
  <si>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</si>
  <si>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</si>
  <si>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</si>
  <si>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</si>
  <si>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</si>
  <si>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</si>
  <si>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</si>
  <si>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</si>
  <si>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</si>
  <si>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</si>
  <si>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</si>
  <si>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</si>
  <si>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</si>
  <si>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</si>
  <si>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</si>
  <si>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</si>
  <si>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</si>
  <si>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</si>
  <si>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</si>
  <si>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</si>
  <si>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</si>
  <si>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</si>
  <si>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</si>
  <si>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</si>
  <si>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</si>
  <si>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</si>
  <si>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</si>
  <si>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</si>
  <si>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</si>
  <si>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</si>
  <si>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</si>
  <si>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</si>
  <si>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</si>
  <si>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</si>
  <si>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</si>
  <si>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</si>
  <si>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</si>
  <si>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</si>
  <si>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</si>
  <si>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</si>
  <si>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</si>
  <si>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</si>
  <si>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</si>
  <si>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</si>
  <si>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</si>
  <si>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</si>
  <si>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</si>
  <si>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</si>
  <si>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</si>
  <si>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</si>
  <si>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</si>
  <si>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</si>
  <si>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</si>
  <si>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</si>
  <si>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</si>
  <si>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</si>
  <si>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</si>
  <si>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</si>
  <si>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</si>
  <si>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</si>
  <si>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</si>
  <si>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</si>
  <si>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</si>
  <si>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</si>
  <si>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</si>
  <si>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</si>
  <si>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</si>
  <si>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</si>
  <si>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</si>
  <si>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</si>
  <si>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</si>
  <si>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</si>
  <si>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</si>
  <si>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</si>
  <si>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</si>
  <si>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</si>
  <si>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</si>
  <si>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</si>
  <si>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</si>
  <si>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</si>
  <si>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</si>
  <si>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</si>
  <si>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</si>
  <si>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</si>
  <si>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</si>
  <si>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</si>
  <si>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</si>
  <si>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</si>
  <si>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</si>
  <si>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</si>
  <si>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</si>
  <si>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</si>
  <si>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</si>
  <si>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</si>
  <si>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</si>
  <si>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</si>
  <si>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</si>
  <si>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</si>
  <si>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</si>
  <si>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</si>
  <si>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</si>
  <si>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</si>
  <si>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</si>
  <si>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</si>
  <si>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</si>
  <si>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</si>
  <si>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</si>
  <si>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</si>
  <si>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</si>
  <si>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</si>
  <si>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</si>
  <si>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</si>
  <si>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</si>
  <si>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</si>
  <si>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</si>
  <si>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</si>
  <si>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</si>
  <si>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</si>
  <si>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</si>
  <si>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</si>
  <si>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</si>
  <si>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</si>
  <si>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</si>
  <si>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</si>
  <si>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</si>
  <si>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</si>
  <si>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</si>
  <si>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</si>
  <si>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</si>
  <si>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</si>
  <si>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</si>
  <si>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</si>
  <si>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</si>
  <si>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</si>
  <si>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</si>
  <si>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</si>
  <si>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</si>
  <si>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</si>
  <si>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</si>
  <si>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</si>
  <si>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</si>
  <si>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</si>
  <si>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</si>
  <si>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</si>
  <si>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</si>
  <si>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</si>
  <si>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</si>
  <si>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</si>
  <si>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</si>
  <si>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</si>
  <si>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</si>
  <si>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</si>
  <si>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</si>
  <si>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</si>
  <si>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</si>
  <si>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</si>
  <si>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</si>
  <si>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</si>
  <si>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</si>
  <si>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</si>
  <si>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</si>
  <si>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</si>
  <si>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</si>
  <si>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</si>
  <si>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</si>
  <si>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</si>
  <si>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</si>
  <si>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</si>
  <si>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</si>
  <si>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</si>
  <si>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</si>
  <si>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</si>
  <si>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</si>
  <si>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</si>
  <si>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</si>
  <si>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</si>
  <si>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</si>
  <si>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</si>
  <si>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</si>
  <si>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</si>
  <si>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</si>
  <si>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</si>
  <si>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</si>
  <si>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</si>
  <si>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</si>
  <si>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</si>
  <si>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</si>
  <si>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</si>
  <si>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</si>
  <si>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</si>
  <si>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</si>
  <si>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</si>
  <si>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</si>
  <si>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</si>
  <si>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</si>
  <si>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</si>
  <si>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</si>
  <si>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</si>
  <si>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</si>
  <si>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</si>
  <si>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</si>
  <si>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</si>
  <si>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</si>
  <si>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</si>
  <si>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</si>
  <si>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</si>
  <si>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</si>
  <si>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</si>
  <si>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</si>
  <si>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</si>
  <si>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</si>
  <si>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</si>
  <si>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</si>
  <si>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</si>
  <si>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</si>
  <si>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</si>
  <si>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</si>
  <si>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</si>
  <si>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</si>
  <si>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</si>
  <si>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</si>
  <si>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</si>
  <si>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</si>
  <si>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</si>
  <si>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</si>
  <si>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</si>
  <si>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</si>
  <si>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</si>
  <si>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</si>
  <si>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</si>
  <si>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</si>
  <si>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</si>
  <si>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</si>
  <si>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</si>
  <si>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</si>
  <si>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</si>
  <si>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</si>
  <si>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</si>
  <si>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</si>
  <si>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</si>
  <si>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</si>
  <si>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</si>
  <si>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</si>
  <si>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</si>
  <si>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</si>
  <si>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</si>
  <si>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</si>
  <si>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</si>
  <si>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</si>
  <si>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</si>
  <si>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</si>
  <si>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</si>
  <si>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</si>
  <si>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</si>
  <si>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</si>
  <si>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</si>
  <si>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</si>
  <si>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</si>
  <si>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</si>
  <si>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</si>
  <si>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</si>
  <si>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</si>
  <si>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</si>
  <si>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</si>
  <si>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</si>
  <si>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</si>
  <si>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</si>
  <si>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</si>
  <si>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</si>
  <si>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</si>
  <si>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</si>
  <si>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</si>
  <si>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</si>
  <si>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</si>
  <si>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</si>
  <si>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</si>
  <si>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</si>
  <si>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</si>
  <si>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</si>
  <si>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</si>
  <si>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</si>
  <si>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</si>
  <si>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</si>
  <si>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</si>
  <si>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</si>
  <si>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</si>
  <si>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</si>
  <si>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</si>
  <si>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</si>
  <si>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</si>
  <si>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</si>
  <si>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</si>
  <si>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</si>
  <si>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</si>
  <si>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</si>
  <si>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</si>
  <si>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</si>
  <si>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</si>
  <si>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</si>
  <si>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</si>
  <si>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</si>
  <si>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</si>
  <si>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</si>
  <si>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</si>
  <si>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</si>
  <si>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</si>
  <si>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</si>
  <si>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</si>
  <si>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</si>
  <si>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</si>
  <si>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</si>
  <si>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</si>
  <si>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</si>
  <si>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</si>
  <si>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</si>
  <si>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</si>
  <si>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</si>
  <si>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</si>
  <si>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</si>
  <si>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</si>
  <si>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</si>
  <si>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</si>
  <si>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</si>
  <si>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</si>
  <si>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</si>
  <si>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</si>
  <si>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</si>
  <si>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</si>
  <si>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</si>
  <si>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</si>
  <si>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</si>
  <si>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</si>
  <si>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</si>
  <si>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</si>
  <si>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</si>
  <si>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</si>
  <si>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</si>
  <si>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</si>
  <si>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</si>
  <si>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</si>
  <si>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</si>
  <si>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</si>
  <si>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</si>
  <si>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</si>
  <si>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</si>
  <si>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</si>
  <si>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</si>
  <si>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</si>
  <si>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</si>
  <si>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</si>
  <si>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</si>
  <si>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</si>
  <si>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</si>
  <si>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</si>
  <si>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</si>
  <si>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</si>
  <si>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</si>
  <si>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</si>
  <si>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</si>
  <si>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</si>
  <si>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</si>
  <si>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</si>
  <si>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</si>
  <si>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</si>
  <si>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</si>
  <si>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</si>
  <si>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</si>
  <si>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</si>
  <si>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</si>
  <si>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</si>
  <si>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</si>
  <si>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</si>
  <si>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</si>
  <si>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</si>
  <si>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</si>
  <si>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</si>
  <si>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</si>
  <si>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</si>
  <si>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</si>
  <si>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</si>
  <si>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</si>
  <si>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</si>
  <si>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</si>
  <si>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</si>
  <si>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</si>
  <si>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</si>
  <si>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</si>
  <si>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</si>
  <si>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</si>
  <si>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</si>
  <si>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</si>
  <si>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</si>
  <si>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</si>
  <si>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</si>
  <si>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</si>
  <si>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</si>
  <si>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</si>
  <si>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</si>
  <si>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</si>
  <si>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</si>
  <si>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</si>
  <si>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</si>
  <si>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</si>
  <si>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</si>
  <si>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</si>
  <si>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</si>
  <si>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</si>
  <si>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</si>
  <si>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</si>
  <si>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</si>
  <si>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</si>
  <si>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</si>
  <si>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</si>
  <si>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</si>
  <si>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</si>
  <si>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</si>
  <si>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</si>
  <si>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</si>
  <si>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</si>
  <si>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</si>
  <si>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</si>
  <si>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</si>
  <si>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</si>
  <si>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</si>
  <si>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</si>
  <si>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</si>
  <si>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</si>
  <si>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</si>
  <si>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</si>
  <si>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</si>
  <si>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</si>
  <si>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</si>
  <si>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</si>
  <si>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</si>
  <si>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</si>
  <si>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</si>
  <si>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</si>
  <si>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</si>
  <si>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</si>
  <si>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</si>
  <si>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</si>
  <si>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</si>
  <si>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</si>
  <si>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</si>
  <si>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</si>
  <si>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</si>
  <si>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</si>
  <si>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</si>
  <si>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</si>
  <si>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</si>
  <si>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</si>
  <si>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</si>
  <si>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</si>
  <si>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</si>
  <si>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</si>
  <si>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</si>
  <si>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</si>
  <si>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</si>
  <si>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</si>
  <si>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</si>
  <si>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</si>
  <si>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</si>
  <si>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</si>
  <si>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</si>
  <si>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</si>
  <si>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</si>
  <si>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</si>
  <si>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</si>
  <si>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</si>
  <si>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</si>
  <si>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</si>
  <si>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</si>
  <si>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</si>
  <si>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</si>
  <si>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</si>
  <si>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</si>
  <si>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</si>
  <si>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</si>
  <si>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</si>
  <si>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</si>
  <si>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</si>
  <si>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</si>
  <si>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</si>
  <si>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</si>
  <si>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</si>
  <si>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</si>
  <si>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</si>
  <si>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</si>
  <si>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</si>
  <si>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</si>
  <si>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</si>
  <si>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</si>
  <si>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</si>
  <si>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</si>
  <si>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</si>
  <si>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</si>
  <si>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</si>
  <si>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</si>
  <si>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</si>
  <si>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</si>
  <si>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</si>
  <si>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</si>
  <si>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</si>
  <si>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</si>
  <si>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</si>
  <si>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</si>
  <si>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</si>
  <si>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</si>
  <si>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</si>
  <si>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</si>
  <si>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</si>
  <si>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</si>
  <si>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</si>
  <si>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</si>
  <si>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</si>
  <si>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</si>
  <si>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</si>
  <si>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</si>
  <si>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</si>
  <si>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</si>
  <si>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</si>
  <si>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</si>
  <si>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</si>
  <si>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</si>
  <si>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</si>
  <si>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</si>
  <si>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</si>
  <si>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</si>
  <si>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</si>
  <si>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</si>
  <si>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</si>
  <si>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</si>
  <si>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</si>
  <si>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</si>
  <si>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</si>
  <si>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</si>
  <si>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</si>
  <si>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</si>
  <si>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</si>
  <si>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</si>
  <si>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</si>
  <si>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</si>
  <si>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</si>
  <si>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</si>
  <si>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</si>
  <si>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</si>
  <si>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</si>
  <si>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</si>
  <si>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</si>
  <si>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</si>
  <si>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</si>
  <si>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</si>
  <si>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</si>
  <si>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</si>
  <si>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</si>
  <si>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</si>
  <si>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</si>
  <si>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</si>
  <si>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</si>
  <si>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</si>
  <si>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</si>
  <si>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</si>
  <si>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</si>
  <si>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</si>
  <si>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</si>
  <si>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</si>
  <si>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</si>
  <si>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</si>
  <si>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</si>
  <si>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</si>
  <si>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</si>
  <si>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</si>
  <si>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</si>
  <si>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</si>
  <si>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</si>
  <si>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</si>
  <si>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</si>
  <si>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</si>
  <si>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</si>
  <si>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</si>
  <si>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</si>
  <si>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</si>
  <si>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</si>
  <si>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</si>
  <si>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</si>
  <si>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</si>
  <si>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</si>
  <si>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</si>
  <si>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</si>
  <si>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</si>
  <si>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</si>
  <si>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</si>
  <si>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</si>
  <si>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</si>
  <si>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</si>
  <si>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</si>
  <si>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</si>
  <si>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</si>
  <si>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</si>
  <si>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</si>
  <si>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</si>
  <si>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</si>
  <si>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</si>
  <si>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</si>
  <si>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</si>
  <si>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</si>
  <si>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</si>
  <si>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</si>
  <si>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</si>
  <si>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</si>
  <si>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</si>
  <si>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</si>
  <si>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</si>
  <si>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</si>
  <si>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</si>
  <si>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</si>
  <si>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</si>
  <si>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</si>
  <si>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</si>
  <si>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</si>
  <si>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</si>
  <si>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</si>
  <si>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</si>
  <si>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</si>
  <si>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</si>
  <si>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</si>
  <si>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</si>
  <si>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</si>
  <si>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</si>
  <si>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</si>
  <si>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</si>
  <si>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</si>
  <si>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</si>
  <si>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</si>
  <si>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</si>
  <si>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</si>
  <si>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</si>
  <si>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</si>
  <si>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</si>
  <si>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</si>
  <si>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</si>
  <si>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</si>
  <si>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</si>
  <si>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</si>
  <si>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</si>
  <si>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</si>
  <si>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</si>
  <si>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</si>
  <si>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</si>
  <si>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</si>
  <si>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</si>
  <si>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</si>
  <si>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</si>
  <si>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</si>
  <si>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</si>
  <si>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</si>
  <si>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</si>
  <si>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</si>
  <si>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</si>
  <si>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</si>
  <si>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</si>
  <si>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</si>
  <si>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</si>
  <si>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</si>
  <si>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</si>
  <si>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</si>
  <si>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</si>
  <si>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</si>
  <si>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</si>
  <si>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</si>
  <si>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</si>
  <si>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</si>
  <si>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</si>
  <si>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</si>
  <si>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</si>
  <si>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</si>
  <si>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</si>
  <si>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</si>
  <si>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</si>
  <si>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</si>
  <si>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</si>
  <si>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</si>
  <si>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</si>
  <si>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</si>
  <si>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</si>
  <si>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</si>
  <si>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</si>
  <si>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</si>
  <si>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</si>
  <si>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</si>
  <si>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</si>
  <si>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</si>
  <si>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</si>
  <si>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</si>
  <si>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</si>
  <si>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</si>
  <si>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</si>
  <si>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</si>
  <si>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</si>
  <si>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</si>
  <si>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</si>
  <si>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</si>
  <si>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</si>
  <si>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</si>
  <si>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</si>
  <si>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</si>
  <si>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</si>
  <si>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</si>
  <si>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</si>
  <si>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</si>
  <si>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</si>
  <si>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</si>
  <si>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</si>
  <si>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</si>
  <si>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</si>
  <si>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</si>
  <si>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</si>
  <si>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</si>
  <si>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</si>
  <si>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</si>
  <si>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</si>
  <si>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</si>
  <si>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</si>
  <si>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</si>
  <si>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</si>
  <si>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</si>
  <si>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</si>
  <si>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</si>
  <si>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</si>
  <si>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</si>
  <si>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</si>
  <si>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</si>
  <si>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</si>
  <si>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</si>
  <si>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</si>
  <si>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</si>
  <si>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</si>
  <si>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</si>
  <si>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</si>
  <si>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</si>
  <si>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</si>
  <si>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</si>
  <si>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</si>
  <si>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</si>
  <si>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</si>
  <si>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</si>
  <si>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</si>
  <si>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</si>
  <si>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</si>
  <si>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</si>
  <si>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</si>
  <si>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</si>
  <si>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</si>
  <si>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</si>
  <si>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</si>
  <si>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</si>
  <si>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</si>
  <si>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</si>
  <si>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</si>
  <si>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</si>
  <si>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</si>
  <si>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</si>
  <si>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</si>
  <si>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</si>
  <si>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</si>
  <si>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</si>
  <si>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</si>
  <si>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</si>
  <si>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</si>
  <si>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</si>
  <si>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</si>
  <si>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</si>
  <si>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</si>
  <si>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</si>
  <si>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</si>
  <si>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</si>
  <si>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</si>
  <si>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</si>
  <si>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</si>
  <si>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</si>
  <si>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</si>
  <si>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</si>
  <si>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</si>
  <si>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</si>
  <si>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</si>
  <si>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</si>
  <si>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</si>
  <si>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</si>
  <si>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</si>
  <si>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</si>
  <si>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</si>
  <si>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</si>
  <si>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</si>
  <si>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</si>
  <si>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</si>
  <si>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</si>
  <si>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</si>
  <si>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</si>
  <si>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</si>
  <si>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</si>
  <si>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</si>
  <si>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</si>
  <si>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</si>
  <si>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</si>
  <si>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</si>
  <si>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</si>
  <si>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</si>
  <si>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</si>
  <si>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</si>
  <si>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</si>
  <si>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</si>
  <si>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</si>
  <si>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</si>
  <si>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</si>
  <si>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</si>
  <si>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</si>
  <si>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</si>
  <si>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</si>
  <si>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</si>
  <si>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</si>
  <si>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</si>
  <si>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</si>
  <si>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</si>
  <si>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</si>
  <si>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</si>
  <si>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</si>
  <si>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</si>
  <si>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</si>
  <si>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</si>
  <si>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</si>
  <si>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</si>
  <si>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</si>
  <si>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</si>
  <si>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</si>
  <si>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</si>
  <si>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</si>
  <si>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</si>
  <si>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</si>
  <si>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</si>
  <si>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</si>
  <si>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</si>
  <si>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</si>
  <si>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</si>
  <si>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</si>
  <si>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</si>
  <si>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</si>
  <si>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</si>
  <si>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</si>
  <si>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</si>
  <si>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</si>
  <si>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</si>
  <si>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</si>
  <si>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</si>
  <si>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</si>
  <si>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</si>
  <si>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</si>
  <si>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</si>
  <si>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</si>
  <si>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</si>
  <si>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</si>
  <si>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</si>
  <si>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</si>
  <si>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</si>
  <si>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</si>
  <si>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</si>
  <si>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</si>
  <si>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</si>
  <si>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</si>
  <si>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</si>
  <si>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</si>
  <si>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</si>
  <si>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</si>
  <si>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</si>
  <si>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</si>
  <si>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</si>
  <si>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</si>
  <si>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</si>
  <si>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</si>
  <si>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</si>
  <si>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</si>
  <si>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</si>
  <si>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</si>
  <si>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</si>
  <si>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</si>
  <si>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</si>
  <si>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</si>
  <si>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</si>
  <si>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</si>
  <si>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</si>
  <si>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</si>
  <si>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</si>
  <si>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</si>
  <si>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</si>
  <si>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</si>
  <si>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</si>
  <si>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</si>
  <si>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</si>
  <si>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</si>
  <si>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</si>
  <si>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</si>
  <si>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</si>
  <si>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</si>
  <si>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</si>
  <si>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</si>
  <si>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</si>
  <si>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</si>
  <si>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</si>
  <si>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</si>
  <si>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</si>
  <si>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</si>
  <si>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</si>
  <si>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</si>
  <si>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</si>
  <si>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</si>
  <si>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</si>
  <si>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</si>
  <si>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</si>
  <si>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</si>
  <si>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</si>
  <si>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</si>
  <si>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</si>
  <si>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</si>
  <si>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</si>
  <si>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</si>
  <si>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</si>
  <si>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</si>
  <si>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</si>
  <si>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</si>
  <si>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</si>
  <si>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</si>
  <si>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</si>
  <si>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</si>
  <si>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</si>
  <si>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</si>
  <si>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</si>
  <si>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</si>
  <si>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</si>
  <si>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</si>
  <si>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</si>
  <si>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</si>
  <si>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</si>
  <si>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</si>
  <si>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</si>
  <si>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</si>
  <si>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</si>
  <si>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</si>
  <si>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</si>
  <si>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</si>
  <si>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</si>
  <si>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</si>
  <si>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</si>
  <si>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</si>
  <si>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</si>
  <si>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</si>
  <si>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</si>
  <si>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</si>
  <si>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</si>
  <si>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</si>
  <si>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</si>
  <si>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</si>
  <si>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</si>
  <si>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</si>
  <si>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</si>
  <si>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</si>
  <si>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</si>
  <si>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</si>
  <si>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</si>
  <si>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</si>
  <si>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</si>
  <si>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</si>
  <si>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</si>
  <si>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</si>
  <si>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</si>
  <si>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</si>
  <si>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</si>
  <si>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</si>
  <si>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</si>
  <si>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</si>
  <si>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</si>
  <si>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</si>
  <si>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</si>
  <si>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</si>
  <si>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</si>
  <si>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</si>
  <si>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</si>
  <si>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</si>
  <si>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</si>
  <si>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</si>
  <si>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</si>
  <si>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</si>
  <si>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</si>
  <si>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</si>
  <si>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</si>
  <si>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</si>
  <si>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</si>
  <si>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</si>
  <si>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</si>
  <si>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</si>
  <si>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</si>
  <si>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</si>
  <si>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</si>
  <si>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</si>
  <si>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</si>
  <si>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</si>
  <si>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</si>
  <si>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</si>
  <si>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</si>
  <si>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</si>
  <si>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</si>
  <si>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</si>
  <si>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</si>
  <si>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</si>
  <si>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</si>
  <si>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</si>
  <si>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</si>
  <si>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</si>
  <si>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</si>
  <si>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</si>
  <si>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</si>
  <si>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</si>
  <si>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</si>
  <si>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</si>
  <si>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</si>
  <si>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</si>
  <si>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</si>
  <si>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</si>
  <si>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</si>
  <si>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</si>
  <si>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</si>
  <si>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</si>
  <si>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</si>
  <si>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</si>
  <si>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</si>
  <si>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</si>
  <si>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</si>
  <si>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</si>
  <si>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</si>
  <si>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</si>
  <si>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</si>
  <si>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</si>
  <si>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</si>
  <si>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</si>
  <si>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</si>
  <si>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</si>
  <si>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</si>
  <si>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</si>
  <si>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</si>
  <si>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</si>
  <si>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</si>
  <si>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</si>
  <si>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</si>
  <si>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</si>
  <si>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</si>
  <si>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</si>
  <si>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</si>
  <si>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</si>
  <si>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</si>
  <si>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</si>
  <si>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</si>
  <si>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</si>
  <si>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</si>
  <si>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</si>
  <si>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</si>
  <si>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</si>
  <si>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</si>
  <si>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</si>
  <si>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</si>
  <si>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</si>
  <si>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</si>
  <si>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</si>
  <si>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</si>
  <si>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</si>
  <si>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</si>
  <si>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</si>
  <si>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</si>
  <si>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</si>
  <si>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</si>
  <si>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</si>
  <si>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</si>
  <si>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</si>
  <si>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</si>
  <si>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</si>
  <si>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</si>
  <si>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</si>
  <si>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</si>
  <si>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</si>
  <si>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</si>
  <si>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</si>
  <si>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</si>
  <si>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</si>
  <si>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</si>
  <si>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</si>
  <si>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</si>
  <si>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</si>
  <si>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</si>
  <si>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</si>
  <si>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</si>
  <si>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</si>
  <si>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</si>
  <si>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</si>
  <si>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</si>
  <si>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</si>
  <si>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</si>
  <si>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</si>
  <si>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</si>
  <si>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</si>
  <si>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</si>
  <si>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</si>
  <si>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</si>
  <si>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</si>
  <si>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</si>
  <si>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</si>
  <si>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</si>
  <si>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</si>
  <si>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</si>
  <si>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</si>
  <si>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</si>
  <si>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</si>
  <si>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</si>
  <si>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</si>
  <si>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</si>
  <si>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</si>
  <si>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</si>
  <si>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</si>
  <si>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</si>
  <si>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</si>
  <si>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</si>
  <si>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</si>
  <si>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</si>
  <si>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</si>
  <si>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</si>
  <si>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</si>
  <si>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</si>
  <si>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</si>
  <si>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</si>
  <si>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</si>
  <si>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</si>
  <si>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</si>
  <si>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</si>
  <si>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</si>
  <si>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</si>
  <si>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</si>
  <si>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</si>
  <si>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</si>
  <si>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</si>
  <si>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</si>
  <si>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</si>
  <si>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</si>
  <si>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</si>
  <si>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</si>
  <si>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</si>
  <si>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</si>
  <si>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</si>
  <si>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</si>
  <si>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</si>
  <si>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</si>
  <si>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</si>
  <si>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</si>
  <si>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</si>
  <si>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</si>
  <si>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</si>
  <si>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</si>
  <si>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</si>
  <si>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</si>
  <si>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</si>
  <si>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</si>
  <si>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</si>
  <si>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</si>
  <si>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</si>
  <si>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</si>
  <si>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</si>
  <si>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</si>
  <si>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</si>
  <si>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</si>
  <si>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</si>
  <si>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</si>
  <si>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</si>
  <si>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</si>
  <si>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</si>
  <si>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</si>
  <si>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</si>
  <si>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</si>
  <si>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</si>
  <si>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</si>
  <si>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</si>
  <si>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</si>
  <si>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</si>
  <si>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</si>
  <si>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</si>
  <si>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</si>
  <si>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</si>
  <si>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</si>
  <si>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</si>
  <si>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</si>
  <si>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</si>
  <si>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</si>
  <si>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</si>
  <si>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</si>
  <si>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</si>
  <si>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</si>
  <si>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</si>
  <si>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</si>
  <si>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</si>
  <si>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</si>
  <si>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</si>
  <si>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</si>
  <si>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</si>
  <si>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</si>
  <si>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</si>
  <si>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</si>
  <si>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</si>
  <si>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</si>
  <si>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</si>
  <si>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</si>
  <si>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</si>
  <si>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</si>
  <si>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</si>
  <si>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</si>
  <si>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</si>
  <si>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</si>
  <si>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</si>
  <si>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</si>
  <si>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</si>
  <si>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</si>
  <si>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</si>
  <si>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</si>
  <si>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</si>
  <si>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</si>
  <si>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</si>
  <si>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</si>
  <si>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</si>
  <si>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</si>
  <si>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</si>
  <si>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</si>
  <si>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</si>
  <si>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</si>
  <si>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</si>
  <si>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</si>
  <si>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</si>
  <si>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</si>
  <si>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</si>
  <si>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</si>
  <si>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</si>
  <si>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</si>
  <si>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</si>
  <si>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</si>
  <si>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</si>
  <si>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</si>
  <si>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</si>
  <si>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</si>
  <si>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</si>
  <si>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</si>
  <si>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</si>
  <si>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</si>
  <si>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</si>
  <si>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</si>
  <si>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</si>
  <si>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</si>
  <si>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</si>
  <si>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</si>
  <si>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</si>
  <si>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</si>
  <si>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</si>
  <si>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</si>
  <si>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</si>
  <si>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</si>
  <si>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</si>
  <si>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</si>
  <si>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</si>
  <si>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</si>
  <si>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</si>
  <si>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</si>
  <si>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</si>
  <si>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</si>
  <si>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</si>
  <si>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</si>
  <si>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</si>
  <si>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</si>
  <si>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</si>
  <si>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</si>
  <si>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</si>
  <si>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</si>
  <si>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</si>
  <si>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</si>
  <si>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</si>
  <si>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</si>
  <si>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</si>
  <si>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</si>
  <si>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</si>
  <si>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</si>
  <si>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</si>
  <si>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</si>
  <si>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</si>
  <si>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</si>
  <si>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</si>
  <si>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</si>
  <si>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</si>
  <si>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</si>
  <si>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</si>
  <si>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</si>
  <si>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</si>
  <si>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</si>
  <si>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</si>
  <si>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</si>
  <si>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</si>
  <si>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</si>
  <si>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</si>
  <si>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</si>
  <si>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</si>
  <si>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</si>
  <si>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</si>
  <si>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</si>
  <si>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</si>
  <si>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</si>
  <si>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</si>
  <si>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</si>
  <si>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</si>
  <si>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</si>
  <si>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</si>
  <si>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</si>
  <si>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</si>
  <si>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</si>
  <si>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</si>
  <si>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</si>
  <si>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</si>
  <si>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</si>
  <si>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</si>
  <si>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</si>
  <si>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</si>
  <si>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</si>
  <si>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</si>
  <si>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</si>
  <si>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</si>
  <si>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</si>
  <si>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</si>
  <si>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</si>
  <si>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</si>
  <si>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</si>
  <si>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</si>
  <si>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</si>
  <si>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</si>
  <si>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</si>
  <si>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</si>
  <si>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</si>
  <si>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</si>
  <si>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</si>
  <si>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</si>
  <si>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</si>
  <si>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</si>
  <si>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</si>
  <si>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</si>
  <si>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</si>
  <si>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</si>
  <si>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</si>
  <si>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</si>
  <si>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</si>
  <si>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</si>
  <si>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</si>
  <si>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</si>
  <si>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</si>
  <si>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</si>
  <si>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</si>
  <si>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</si>
  <si>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</si>
  <si>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</si>
  <si>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</si>
  <si>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</si>
  <si>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</si>
  <si>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</si>
  <si>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</si>
  <si>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</si>
  <si>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</si>
  <si>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</si>
  <si>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</si>
  <si>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</si>
  <si>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</si>
  <si>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</si>
  <si>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</si>
  <si>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</si>
  <si>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</si>
  <si>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</si>
  <si>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</si>
  <si>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</si>
  <si>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</si>
  <si>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</si>
  <si>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</si>
  <si>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</si>
  <si>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</si>
  <si>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</si>
  <si>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</si>
  <si>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</si>
  <si>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</si>
  <si>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</si>
  <si>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</si>
  <si>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</si>
  <si>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</si>
  <si>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</si>
  <si>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</si>
  <si>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</si>
  <si>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</si>
  <si>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</si>
  <si>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</si>
  <si>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</si>
  <si>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</si>
  <si>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</si>
  <si>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</si>
  <si>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</si>
  <si>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</si>
  <si>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</si>
  <si>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</si>
  <si>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</si>
  <si>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</si>
  <si>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</si>
  <si>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</si>
  <si>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</si>
  <si>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</si>
  <si>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</si>
  <si>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</si>
  <si>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</si>
  <si>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</si>
  <si>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</si>
  <si>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</si>
  <si>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</si>
  <si>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</si>
  <si>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</si>
  <si>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</si>
  <si>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</si>
  <si>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</si>
  <si>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</si>
  <si>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</si>
  <si>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</si>
  <si>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</si>
  <si>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</si>
  <si>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</si>
  <si>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</si>
  <si>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</si>
  <si>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</si>
  <si>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</si>
  <si>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</si>
  <si>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</si>
  <si>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</si>
  <si>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</si>
  <si>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</si>
  <si>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</si>
  <si>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</si>
  <si>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</si>
  <si>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</si>
  <si>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</si>
  <si>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</si>
  <si>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</si>
  <si>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</si>
  <si>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</si>
  <si>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</si>
  <si>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</si>
  <si>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</si>
  <si>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</si>
  <si>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</si>
  <si>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</si>
  <si>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</si>
  <si>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</si>
  <si>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</si>
  <si>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</si>
  <si>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</si>
  <si>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</si>
  <si>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</si>
  <si>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</si>
  <si>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</si>
  <si>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</si>
  <si>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</si>
  <si>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</si>
  <si>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</si>
  <si>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</si>
  <si>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</si>
  <si>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</si>
  <si>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</si>
  <si>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</si>
  <si>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</si>
  <si>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</si>
  <si>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</si>
  <si>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</si>
  <si>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</si>
  <si>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</si>
  <si>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</si>
  <si>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</si>
  <si>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</si>
  <si>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</si>
  <si>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</si>
  <si>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</si>
  <si>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</si>
  <si>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</si>
  <si>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</si>
  <si>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</si>
  <si>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</si>
  <si>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</si>
  <si>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</si>
  <si>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</si>
  <si>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</si>
  <si>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</si>
  <si>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</si>
  <si>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</si>
  <si>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</si>
  <si>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</si>
  <si>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</si>
  <si>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</si>
  <si>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</si>
  <si>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</si>
  <si>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</si>
  <si>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</si>
  <si>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</si>
  <si>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</si>
  <si>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</si>
  <si>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</si>
  <si>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</si>
  <si>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</si>
  <si>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</si>
  <si>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</si>
  <si>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</si>
  <si>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</si>
  <si>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</si>
  <si>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</si>
  <si>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</si>
  <si>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</si>
  <si>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</si>
  <si>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</si>
  <si>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</si>
  <si>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</si>
  <si>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</si>
  <si>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</si>
  <si>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</si>
  <si>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</si>
  <si>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</si>
  <si>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</si>
  <si>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</si>
  <si>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</si>
  <si>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</si>
  <si>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</si>
  <si>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</si>
  <si>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</si>
  <si>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</si>
  <si>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</si>
  <si>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</si>
  <si>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</si>
  <si>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</si>
  <si>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</si>
  <si>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</si>
  <si>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</si>
  <si>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</si>
  <si>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</si>
  <si>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</si>
  <si>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</si>
  <si>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</si>
  <si>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</si>
  <si>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</si>
  <si>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</si>
  <si>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</si>
  <si>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</si>
  <si>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</si>
  <si>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</si>
  <si>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</si>
  <si>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</si>
  <si>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</si>
  <si>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</si>
  <si>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</si>
  <si>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</si>
  <si>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</si>
  <si>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</si>
  <si>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</si>
  <si>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</si>
  <si>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</si>
  <si>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</si>
  <si>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</si>
  <si>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</si>
  <si>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</si>
  <si>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</si>
  <si>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</si>
  <si>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</si>
  <si>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</si>
  <si>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</si>
  <si>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</si>
  <si>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</si>
  <si>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</si>
  <si>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</si>
  <si>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</si>
  <si>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</si>
  <si>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</si>
  <si>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</si>
  <si>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</si>
  <si>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</si>
  <si>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</si>
  <si>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</si>
  <si>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</si>
  <si>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</si>
  <si>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</si>
  <si>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</si>
  <si>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</si>
  <si>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</si>
  <si>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</si>
  <si>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</si>
  <si>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</si>
  <si>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</si>
  <si>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</si>
  <si>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</si>
  <si>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</si>
  <si>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</si>
  <si>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</si>
  <si>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</si>
  <si>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</si>
  <si>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</si>
  <si>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</si>
  <si>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</si>
  <si>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</si>
  <si>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</si>
  <si>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</si>
  <si>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</si>
  <si>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</si>
  <si>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</si>
  <si>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</si>
  <si>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</si>
  <si>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</si>
  <si>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</si>
  <si>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</si>
  <si>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</si>
  <si>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</si>
  <si>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</si>
  <si>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</si>
  <si>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</si>
  <si>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</si>
  <si>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</si>
  <si>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</si>
  <si>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</si>
  <si>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</si>
  <si>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</si>
  <si>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</si>
  <si>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</si>
  <si>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</si>
  <si>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</si>
  <si>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</si>
  <si>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</si>
  <si>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</si>
  <si>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</si>
  <si>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</si>
  <si>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</si>
  <si>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</si>
  <si>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</si>
  <si>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</si>
  <si>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</si>
  <si>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</si>
  <si>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</si>
  <si>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</si>
  <si>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</si>
  <si>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</si>
  <si>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</si>
  <si>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</si>
  <si>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</si>
  <si>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</si>
  <si>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</si>
  <si>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</si>
  <si>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</si>
  <si>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</si>
  <si>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</si>
  <si>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</si>
  <si>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</si>
  <si>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</si>
  <si>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</si>
  <si>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</si>
  <si>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</si>
  <si>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</si>
  <si>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</si>
  <si>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</si>
  <si>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</si>
  <si>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</si>
  <si>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</si>
  <si>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</si>
  <si>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</si>
  <si>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</si>
  <si>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</si>
  <si>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</si>
  <si>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</si>
  <si>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</si>
  <si>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</si>
  <si>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</si>
  <si>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</si>
  <si>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</si>
  <si>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</si>
  <si>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</si>
  <si>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</si>
  <si>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</si>
  <si>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</si>
  <si>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</si>
  <si>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</si>
  <si>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</si>
  <si>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</si>
  <si>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</si>
  <si>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</si>
  <si>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</si>
  <si>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</si>
  <si>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</si>
  <si>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</si>
  <si>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</si>
  <si>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</si>
  <si>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</si>
  <si>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</si>
  <si>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</si>
  <si>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</si>
  <si>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</si>
  <si>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</si>
  <si>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</si>
  <si>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</si>
  <si>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</si>
  <si>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</si>
  <si>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</si>
  <si>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</si>
  <si>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</si>
  <si>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</si>
  <si>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</si>
  <si>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</si>
  <si>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</si>
  <si>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</si>
  <si>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</si>
  <si>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</si>
  <si>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</si>
  <si>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</si>
  <si>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</si>
  <si>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</si>
  <si>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</si>
  <si>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</si>
  <si>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</si>
  <si>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</si>
  <si>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</si>
  <si>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</si>
  <si>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</si>
  <si>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</si>
  <si>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</si>
  <si>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</si>
  <si>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</si>
  <si>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</si>
  <si>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</si>
  <si>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</si>
  <si>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</si>
  <si>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</si>
  <si>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</si>
  <si>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</si>
  <si>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</si>
  <si>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</si>
  <si>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</si>
  <si>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</si>
  <si>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</si>
  <si>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</si>
  <si>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</si>
  <si>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</si>
  <si>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</si>
  <si>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</si>
  <si>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</si>
  <si>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</si>
  <si>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</si>
  <si>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</si>
  <si>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</si>
  <si>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</si>
  <si>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</si>
  <si>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</si>
  <si>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</si>
  <si>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</si>
  <si>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</si>
  <si>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</si>
  <si>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</si>
  <si>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</si>
  <si>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</si>
  <si>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</si>
  <si>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</si>
  <si>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</si>
  <si>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</si>
  <si>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</si>
  <si>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</si>
  <si>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</si>
  <si>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</si>
  <si>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</si>
  <si>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</si>
  <si>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</si>
  <si>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</si>
  <si>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</si>
  <si>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</si>
  <si>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</si>
  <si>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</si>
  <si>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</si>
  <si>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</si>
  <si>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</si>
  <si>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</si>
  <si>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</si>
  <si>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</si>
  <si>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</si>
  <si>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</si>
  <si>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</si>
  <si>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D4b, D1-3b, C1-2b</t>
  </si>
  <si>
    <t>Exotic Lonicera spp.</t>
  </si>
  <si>
    <t>G1-3c</t>
  </si>
  <si>
    <t>H1-3r</t>
  </si>
  <si>
    <t>Antennaria sp.</t>
  </si>
  <si>
    <t>Lithospermum sp.</t>
  </si>
  <si>
    <t>Symphyotrichum cf. oolentangiense</t>
  </si>
  <si>
    <t>Symphyotrichum cf. ericoides</t>
  </si>
  <si>
    <t>Gentiana sp.</t>
  </si>
  <si>
    <t>MRPRCPL19.12022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</si>
</sst>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10" fillId="0" borderId="25" xfId="1" applyFont="1" applyBorder="1" applyAlignment="1">
      <alignment vertical="center"/>
    </xf>
    <xf numFmtId="0" fontId="44" fillId="0" borderId="25" xfId="0" applyFont="1" applyBorder="1" applyAlignment="1">
      <alignment vertical="center"/>
    </xf>
    <xf numFmtId="0" fontId="14" fillId="0" borderId="25" xfId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42" zoomScale="70" zoomScaleNormal="70" workbookViewId="0">
      <selection activeCell="A1259" sqref="A125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5451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5442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3692</v>
      </c>
      <c r="B12" s="44" t="str">
        <f>IF(LEN(VLOOKUP(A12,'Species List'!$A:$G,2,FALSE))=0,"",VLOOKUP(A12,'Species List'!$A:$G,2,FALSE))</f>
        <v>bur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08">
        <f t="shared" ref="N12:N77" si="2">L12/$L$153</f>
        <v>0.12244897959183673</v>
      </c>
      <c r="O12" s="108">
        <f t="shared" ref="O12:O13" si="3">D12*N12</f>
        <v>0.61224489795918369</v>
      </c>
    </row>
    <row r="13" spans="1:15" x14ac:dyDescent="0.2">
      <c r="A13" s="123" t="s">
        <v>3755</v>
      </c>
      <c r="B13" s="44" t="str">
        <f>IF(LEN(VLOOKUP(A13,'Species List'!$A:$G,2,FALSE))=0,"",VLOOKUP(A13,'Species List'!$A:$G,2,FALSE))</f>
        <v>common buckthorn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0.12244897959183673</v>
      </c>
      <c r="O13" s="108">
        <f t="shared" si="3"/>
        <v>0</v>
      </c>
    </row>
    <row r="14" spans="1:15" x14ac:dyDescent="0.2">
      <c r="A14" s="123" t="s">
        <v>3143</v>
      </c>
      <c r="B14" s="44" t="str">
        <f>IF(LEN(VLOOKUP(A14,'Species List'!$A:$G,2,FALSE))=0,"",VLOOKUP(A14,'Species List'!$A:$G,2,FALSE))</f>
        <v>ironwood</v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[FACU-]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0.12244897959183673</v>
      </c>
      <c r="O14" s="85">
        <f>D14*N14</f>
        <v>0.48979591836734693</v>
      </c>
    </row>
    <row r="15" spans="1:15" x14ac:dyDescent="0.2">
      <c r="A15" s="123" t="s">
        <v>3654</v>
      </c>
      <c r="B15" s="44" t="str">
        <f>IF(LEN(VLOOKUP(A15,'Species List'!$A:$G,2,FALSE))=0,"",VLOOKUP(A15,'Species List'!$A:$G,2,FALSE))</f>
        <v>black cherry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0.12244897959183673</v>
      </c>
      <c r="O15" s="98">
        <f t="shared" ref="O15:O78" si="6">D15*N15</f>
        <v>0.48979591836734693</v>
      </c>
    </row>
    <row r="16" spans="1:15" x14ac:dyDescent="0.2">
      <c r="A16" s="123" t="s">
        <v>5443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0.12244897959183673</v>
      </c>
      <c r="O16" s="98">
        <f t="shared" si="6"/>
        <v>0</v>
      </c>
    </row>
    <row r="17" spans="1:15" x14ac:dyDescent="0.2">
      <c r="A17" s="123" t="s">
        <v>3656</v>
      </c>
      <c r="B17" s="44" t="str">
        <f>IF(LEN(VLOOKUP(A17,'Species List'!$A:$G,2,FALSE))=0,"",VLOOKUP(A17,'Species List'!$A:$G,2,FALSE))</f>
        <v>chokecherry</v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123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85">
        <f t="shared" si="2"/>
        <v>2.0408163265306121E-2</v>
      </c>
      <c r="O17" s="98">
        <f t="shared" si="6"/>
        <v>6.1224489795918366E-2</v>
      </c>
    </row>
    <row r="18" spans="1:15" x14ac:dyDescent="0.2">
      <c r="A18" s="123" t="s">
        <v>3536</v>
      </c>
      <c r="B18" s="44" t="str">
        <f>IF(LEN(VLOOKUP(A18,'Species List'!$A:$G,2,FALSE))=0,"",VLOOKUP(A18,'Species List'!$A:$G,2,FALSE))</f>
        <v>quaking aspen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[FAC]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0.12244897959183673</v>
      </c>
      <c r="O18" s="98">
        <f t="shared" si="6"/>
        <v>0.24489795918367346</v>
      </c>
    </row>
    <row r="19" spans="1:15" x14ac:dyDescent="0.2">
      <c r="A19" s="123" t="s">
        <v>4814</v>
      </c>
      <c r="B19" s="44" t="str">
        <f>IF(LEN(VLOOKUP(A19,'Species List'!$A:$G,2,FALSE))=0,"",VLOOKUP(A19,'Species List'!$A:$G,2,FALSE))</f>
        <v>prickly ash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0.12244897959183673</v>
      </c>
      <c r="O19" s="98">
        <f t="shared" si="6"/>
        <v>0.36734693877551017</v>
      </c>
    </row>
    <row r="20" spans="1:15" x14ac:dyDescent="0.2">
      <c r="A20" s="122" t="s">
        <v>4765</v>
      </c>
      <c r="B20" s="44" t="str">
        <f>IF(LEN(VLOOKUP(A20,'Species List'!$A:$G,2,FALSE))=0,"",VLOOKUP(A20,'Species List'!$A:$G,2,FALSE))</f>
        <v>wild grape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C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FACW-</v>
      </c>
      <c r="H20" s="44">
        <f>VLOOKUP(A20,'Species List'!$A:$G,7,FALSE)</f>
        <v>0</v>
      </c>
      <c r="J20" s="124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0.12244897959183673</v>
      </c>
      <c r="O20" s="98">
        <f t="shared" si="6"/>
        <v>0.24489795918367346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24.5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3149</v>
      </c>
      <c r="B12" s="44" t="str">
        <f>IF(LEN(VLOOKUP(A12,'Species List'!$A:$G,2,FALSE))=0,"",VLOOKUP(A12,'Species List'!$A:$G,2,FALSE))</f>
        <v>yellow wood sorrel</v>
      </c>
      <c r="C12" s="44">
        <f>IF(LEN(VLOOKUP(A12,'Species List'!$A:$G,3,FALSE))=0,"",VLOOKUP(A12,'Species List'!$A:$G,3,FALSE))</f>
        <v>0</v>
      </c>
      <c r="D12" s="99">
        <f t="shared" ref="D12:D13" si="0"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3.9215686274509803E-2</v>
      </c>
      <c r="O12" s="108">
        <f t="shared" ref="O12:O13" si="3">D12*N12</f>
        <v>0</v>
      </c>
    </row>
    <row r="13" spans="1:15" x14ac:dyDescent="0.2">
      <c r="A13" s="123" t="s">
        <v>2877</v>
      </c>
      <c r="B13" s="44" t="str">
        <f>IF(LEN(VLOOKUP(A13,'Species List'!$A:$G,2,FALSE))=0,"",VLOOKUP(A13,'Species List'!$A:$G,2,FALSE))</f>
        <v>black medick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3.9215686274509803E-2</v>
      </c>
      <c r="O13" s="108">
        <f t="shared" si="3"/>
        <v>0</v>
      </c>
    </row>
    <row r="14" spans="1:15" x14ac:dyDescent="0.2">
      <c r="A14" s="123" t="s">
        <v>4515</v>
      </c>
      <c r="B14" s="44" t="str">
        <f>IF(LEN(VLOOKUP(A14,'Species List'!$A:$G,2,FALSE))=0,"",VLOOKUP(A14,'Species List'!$A:$G,2,FALSE))</f>
        <v>western poison ivy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3.9215686274509803E-2</v>
      </c>
      <c r="O14" s="85">
        <f>D14*N14</f>
        <v>3.9215686274509803E-2</v>
      </c>
    </row>
    <row r="15" spans="1:15" x14ac:dyDescent="0.2">
      <c r="A15" s="123" t="s">
        <v>556</v>
      </c>
      <c r="B15" s="44" t="str">
        <f>IF(LEN(VLOOKUP(A15,'Species List'!$A:$G,2,FALSE))=0,"",VLOOKUP(A15,'Species List'!$A:$G,2,FALSE))</f>
        <v>whorled milkweed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3.9215686274509803E-2</v>
      </c>
      <c r="O15" s="98">
        <f t="shared" ref="O15:O78" si="7">D15*N15</f>
        <v>7.8431372549019607E-2</v>
      </c>
    </row>
    <row r="16" spans="1:15" x14ac:dyDescent="0.2">
      <c r="A16" s="123" t="s">
        <v>1994</v>
      </c>
      <c r="B16" s="44" t="str">
        <f>IF(LEN(VLOOKUP(A16,'Species List'!$A:$G,2,FALSE))=0,"",VLOOKUP(A16,'Species List'!$A:$G,2,FALSE))</f>
        <v>daisy fleabane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FAC-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3.9215686274509803E-2</v>
      </c>
      <c r="O16" s="98">
        <f t="shared" si="7"/>
        <v>7.8431372549019607E-2</v>
      </c>
    </row>
    <row r="17" spans="1:15" x14ac:dyDescent="0.2">
      <c r="A17" s="123" t="s">
        <v>560</v>
      </c>
      <c r="B17" s="44" t="str">
        <f>IF(LEN(VLOOKUP(A17,'Species List'!$A:$G,2,FALSE))=0,"",VLOOKUP(A17,'Species List'!$A:$G,2,FALSE))</f>
        <v>asparagus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3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98">
        <f t="shared" si="6"/>
        <v>6.5359477124183009E-3</v>
      </c>
      <c r="O17" s="98">
        <f t="shared" si="7"/>
        <v>0</v>
      </c>
    </row>
    <row r="18" spans="1:15" x14ac:dyDescent="0.2">
      <c r="A18" s="123" t="s">
        <v>352</v>
      </c>
      <c r="B18" s="44" t="str">
        <f>IF(LEN(VLOOKUP(A18,'Species List'!$A:$G,2,FALSE))=0,"",VLOOKUP(A18,'Species List'!$A:$G,2,FALSE))</f>
        <v>leadplant</v>
      </c>
      <c r="C18" s="44">
        <f>IF(LEN(VLOOKUP(A18,'Species List'!$A:$G,3,FALSE))=0,"",VLOOKUP(A18,'Species List'!$A:$G,3,FALSE))</f>
        <v>7</v>
      </c>
      <c r="D18" s="99">
        <f t="shared" si="4"/>
        <v>7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3.9215686274509803E-2</v>
      </c>
      <c r="O18" s="98">
        <f t="shared" si="7"/>
        <v>0.27450980392156865</v>
      </c>
    </row>
    <row r="19" spans="1:15" x14ac:dyDescent="0.2">
      <c r="A19" s="123" t="s">
        <v>2694</v>
      </c>
      <c r="B19" s="44" t="str">
        <f>IF(LEN(VLOOKUP(A19,'Species List'!$A:$G,2,FALSE))=0,"",VLOOKUP(A19,'Species List'!$A:$G,2,FALSE))</f>
        <v>grooved yellow flax</v>
      </c>
      <c r="C19" s="44">
        <f>IF(LEN(VLOOKUP(A19,'Species List'!$A:$G,3,FALSE))=0,"",VLOOKUP(A19,'Species List'!$A:$G,3,FALSE))</f>
        <v>8</v>
      </c>
      <c r="D19" s="99">
        <f t="shared" si="4"/>
        <v>8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3.9215686274509803E-2</v>
      </c>
      <c r="O19" s="98">
        <f t="shared" si="7"/>
        <v>0.31372549019607843</v>
      </c>
    </row>
    <row r="20" spans="1:15" x14ac:dyDescent="0.2">
      <c r="A20" s="123" t="s">
        <v>4229</v>
      </c>
      <c r="B20" s="44" t="str">
        <f>IF(LEN(VLOOKUP(A20,'Species List'!$A:$G,2,FALSE))=0,"",VLOOKUP(A20,'Species List'!$A:$G,2,FALSE))</f>
        <v>gray goldenrod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3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3.9215686274509803E-2</v>
      </c>
      <c r="O20" s="98">
        <f t="shared" si="7"/>
        <v>0.15686274509803921</v>
      </c>
    </row>
    <row r="21" spans="1:15" x14ac:dyDescent="0.2">
      <c r="A21" s="123" t="s">
        <v>4650</v>
      </c>
      <c r="B21" s="44" t="str">
        <f>IF(LEN(VLOOKUP(A21,'Species List'!$A:$G,2,FALSE))=0,"",VLOOKUP(A21,'Species List'!$A:$G,2,FALSE))</f>
        <v>common mullein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UPL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3.9215686274509803E-2</v>
      </c>
      <c r="O21" s="98">
        <f t="shared" si="7"/>
        <v>0</v>
      </c>
    </row>
    <row r="22" spans="1:15" x14ac:dyDescent="0.2">
      <c r="A22" s="123" t="s">
        <v>4658</v>
      </c>
      <c r="B22" s="44" t="str">
        <f>IF(LEN(VLOOKUP(A22,'Species List'!$A:$G,2,FALSE))=0,"",VLOOKUP(A22,'Species List'!$A:$G,2,FALSE))</f>
        <v>hoary vervain</v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3.9215686274509803E-2</v>
      </c>
      <c r="O22" s="98">
        <f t="shared" si="7"/>
        <v>0.11764705882352941</v>
      </c>
    </row>
    <row r="23" spans="1:15" x14ac:dyDescent="0.2">
      <c r="A23" s="123" t="s">
        <v>2889</v>
      </c>
      <c r="B23" s="44" t="str">
        <f>IF(LEN(VLOOKUP(A23,'Species List'!$A:$G,2,FALSE))=0,"",VLOOKUP(A23,'Species List'!$A:$G,2,FALSE))</f>
        <v>white sweet clover</v>
      </c>
      <c r="C23" s="44">
        <f>IF(LEN(VLOOKUP(A23,'Species List'!$A:$G,3,FALSE))=0,"",VLOOKUP(A23,'Species List'!$A:$G,3,FALSE))</f>
        <v>0</v>
      </c>
      <c r="D23" s="99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3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3.9215686274509803E-2</v>
      </c>
      <c r="O23" s="98">
        <f t="shared" si="7"/>
        <v>0</v>
      </c>
    </row>
    <row r="24" spans="1:15" x14ac:dyDescent="0.2">
      <c r="A24" s="123" t="s">
        <v>868</v>
      </c>
      <c r="B24" s="44" t="str">
        <f>IF(LEN(VLOOKUP(A24,'Species List'!$A:$G,2,FALSE))=0,"",VLOOKUP(A24,'Species List'!$A:$G,2,FALSE))</f>
        <v>harebell</v>
      </c>
      <c r="C24" s="44">
        <f>IF(LEN(VLOOKUP(A24,'Species List'!$A:$G,3,FALSE))=0,"",VLOOKUP(A24,'Species List'!$A:$G,3,FALSE))</f>
        <v>5</v>
      </c>
      <c r="D24" s="99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FAC-</v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3.9215686274509803E-2</v>
      </c>
      <c r="O24" s="98">
        <f t="shared" si="7"/>
        <v>0.19607843137254902</v>
      </c>
    </row>
    <row r="25" spans="1:15" x14ac:dyDescent="0.2">
      <c r="A25" s="123" t="s">
        <v>4576</v>
      </c>
      <c r="B25" s="44" t="str">
        <f>IF(LEN(VLOOKUP(A25,'Species List'!$A:$G,2,FALSE))=0,"",VLOOKUP(A25,'Species List'!$A:$G,2,FALSE))</f>
        <v>late horse gentian</v>
      </c>
      <c r="C25" s="44">
        <f>IF(LEN(VLOOKUP(A25,'Species List'!$A:$G,3,FALSE))=0,"",VLOOKUP(A25,'Species List'!$A:$G,3,FALSE))</f>
        <v>4</v>
      </c>
      <c r="D25" s="99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[FAC]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3.9215686274509803E-2</v>
      </c>
      <c r="O25" s="98">
        <f t="shared" si="7"/>
        <v>0.15686274509803921</v>
      </c>
    </row>
    <row r="26" spans="1:15" x14ac:dyDescent="0.2">
      <c r="A26" s="123" t="s">
        <v>4219</v>
      </c>
      <c r="B26" s="44" t="str">
        <f>IF(LEN(VLOOKUP(A26,'Species List'!$A:$G,2,FALSE))=0,"",VLOOKUP(A26,'Species List'!$A:$G,2,FALSE))</f>
        <v>giant goldenrod</v>
      </c>
      <c r="C26" s="44">
        <f>IF(LEN(VLOOKUP(A26,'Species List'!$A:$G,3,FALSE))=0,"",VLOOKUP(A26,'Species List'!$A:$G,3,FALSE))</f>
        <v>3</v>
      </c>
      <c r="D26" s="99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</v>
      </c>
      <c r="H26" s="44">
        <f>VLOOKUP(A26,'Species List'!$A:$G,7,FALSE)</f>
        <v>0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3.9215686274509803E-2</v>
      </c>
      <c r="O26" s="98">
        <f t="shared" si="7"/>
        <v>0.11764705882352941</v>
      </c>
    </row>
    <row r="27" spans="1:15" x14ac:dyDescent="0.2">
      <c r="A27" s="123" t="s">
        <v>443</v>
      </c>
      <c r="B27" s="44" t="str">
        <f>IF(LEN(VLOOKUP(A27,'Species List'!$A:$G,2,FALSE))=0,"",VLOOKUP(A27,'Species List'!$A:$G,2,FALSE))</f>
        <v>columbine</v>
      </c>
      <c r="C27" s="44">
        <f>IF(LEN(VLOOKUP(A27,'Species List'!$A:$G,3,FALSE))=0,"",VLOOKUP(A27,'Species List'!$A:$G,3,FALSE))</f>
        <v>4</v>
      </c>
      <c r="D27" s="99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3.9215686274509803E-2</v>
      </c>
      <c r="O27" s="98">
        <f t="shared" si="7"/>
        <v>0.15686274509803921</v>
      </c>
    </row>
    <row r="28" spans="1:15" x14ac:dyDescent="0.2">
      <c r="A28" s="123" t="s">
        <v>4466</v>
      </c>
      <c r="B28" s="44" t="str">
        <f>IF(LEN(VLOOKUP(A28,'Species List'!$A:$G,2,FALSE))=0,"",VLOOKUP(A28,'Species List'!$A:$G,2,FALSE))</f>
        <v>common dandelion</v>
      </c>
      <c r="C28" s="44">
        <f>IF(LEN(VLOOKUP(A28,'Species List'!$A:$G,3,FALSE))=0,"",VLOOKUP(A28,'Species List'!$A:$G,3,FALSE))</f>
        <v>0</v>
      </c>
      <c r="D28" s="99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3.9215686274509803E-2</v>
      </c>
      <c r="O28" s="98">
        <f t="shared" si="7"/>
        <v>0</v>
      </c>
    </row>
    <row r="29" spans="1:15" x14ac:dyDescent="0.2">
      <c r="A29" s="123" t="s">
        <v>2891</v>
      </c>
      <c r="B29" s="44" t="str">
        <f>IF(LEN(VLOOKUP(A29,'Species List'!$A:$G,2,FALSE))=0,"",VLOOKUP(A29,'Species List'!$A:$G,2,FALSE))</f>
        <v>yellow sweet clover</v>
      </c>
      <c r="C29" s="44">
        <f>IF(LEN(VLOOKUP(A29,'Species List'!$A:$G,3,FALSE))=0,"",VLOOKUP(A29,'Species List'!$A:$G,3,FALSE))</f>
        <v>0</v>
      </c>
      <c r="D29" s="99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3.9215686274509803E-2</v>
      </c>
      <c r="O29" s="98">
        <f t="shared" si="7"/>
        <v>0</v>
      </c>
    </row>
    <row r="30" spans="1:15" x14ac:dyDescent="0.2">
      <c r="A30" s="123" t="s">
        <v>5446</v>
      </c>
      <c r="B30" s="44" t="e">
        <f>IF(LEN(VLOOKUP(A30,'Species List'!$A:$G,2,FALSE))=0,"",VLOOKUP(A30,'Species List'!$A:$G,2,FALSE))</f>
        <v>#N/A</v>
      </c>
      <c r="C30" s="44">
        <v>2</v>
      </c>
      <c r="D30" s="99">
        <f t="shared" si="4"/>
        <v>2</v>
      </c>
      <c r="E30" s="44" t="s">
        <v>149</v>
      </c>
      <c r="F30" s="44" t="s">
        <v>147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3">
        <v>1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3.9215686274509803E-2</v>
      </c>
      <c r="O30" s="98">
        <f t="shared" si="7"/>
        <v>7.8431372549019607E-2</v>
      </c>
    </row>
    <row r="31" spans="1:15" x14ac:dyDescent="0.2">
      <c r="A31" s="123" t="s">
        <v>5447</v>
      </c>
      <c r="B31" s="44" t="e">
        <f>IF(LEN(VLOOKUP(A31,'Species List'!$A:$G,2,FALSE))=0,"",VLOOKUP(A31,'Species List'!$A:$G,2,FALSE))</f>
        <v>#N/A</v>
      </c>
      <c r="C31" s="44">
        <v>8</v>
      </c>
      <c r="D31" s="99">
        <f t="shared" si="4"/>
        <v>8</v>
      </c>
      <c r="E31" s="44" t="s">
        <v>149</v>
      </c>
      <c r="F31" s="44" t="s">
        <v>147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3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3.9215686274509803E-2</v>
      </c>
      <c r="O31" s="98">
        <f t="shared" si="7"/>
        <v>0.31372549019607843</v>
      </c>
    </row>
    <row r="32" spans="1:15" x14ac:dyDescent="0.2">
      <c r="A32" s="123" t="s">
        <v>5448</v>
      </c>
      <c r="B32" s="44" t="e">
        <f>IF(LEN(VLOOKUP(A32,'Species List'!$A:$G,2,FALSE))=0,"",VLOOKUP(A32,'Species List'!$A:$G,2,FALSE))</f>
        <v>#N/A</v>
      </c>
      <c r="C32" s="44">
        <v>1</v>
      </c>
      <c r="D32" s="99">
        <f t="shared" si="4"/>
        <v>1</v>
      </c>
      <c r="E32" s="44" t="s">
        <v>149</v>
      </c>
      <c r="F32" s="44" t="s">
        <v>147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3">
        <v>1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3.9215686274509803E-2</v>
      </c>
      <c r="O32" s="98">
        <f t="shared" si="7"/>
        <v>3.9215686274509803E-2</v>
      </c>
    </row>
    <row r="33" spans="1:15" x14ac:dyDescent="0.2">
      <c r="A33" s="123" t="s">
        <v>4526</v>
      </c>
      <c r="B33" s="44" t="str">
        <f>IF(LEN(VLOOKUP(A33,'Species List'!$A:$G,2,FALSE))=0,"",VLOOKUP(A33,'Species List'!$A:$G,2,FALSE))</f>
        <v>yellow goat's beard</v>
      </c>
      <c r="C33" s="44">
        <f>IF(LEN(VLOOKUP(A33,'Species List'!$A:$G,3,FALSE))=0,"",VLOOKUP(A33,'Species List'!$A:$G,3,FALSE))</f>
        <v>0</v>
      </c>
      <c r="D33" s="99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3.9215686274509803E-2</v>
      </c>
      <c r="O33" s="98">
        <f t="shared" si="7"/>
        <v>0</v>
      </c>
    </row>
    <row r="34" spans="1:15" x14ac:dyDescent="0.2">
      <c r="A34" s="123" t="s">
        <v>5449</v>
      </c>
      <c r="B34" s="44" t="e">
        <f>IF(LEN(VLOOKUP(A34,'Species List'!$A:$G,2,FALSE))=0,"",VLOOKUP(A34,'Species List'!$A:$G,2,FALSE))</f>
        <v>#N/A</v>
      </c>
      <c r="C34" s="44">
        <v>2</v>
      </c>
      <c r="D34" s="99">
        <f t="shared" si="4"/>
        <v>2</v>
      </c>
      <c r="E34" s="44" t="s">
        <v>149</v>
      </c>
      <c r="F34" s="44" t="s">
        <v>147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3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3.9215686274509803E-2</v>
      </c>
      <c r="O34" s="98">
        <f t="shared" si="7"/>
        <v>7.8431372549019607E-2</v>
      </c>
    </row>
    <row r="35" spans="1:15" x14ac:dyDescent="0.2">
      <c r="A35" s="123" t="s">
        <v>388</v>
      </c>
      <c r="B35" s="44" t="str">
        <f>IF(LEN(VLOOKUP(A35,'Species List'!$A:$G,2,FALSE))=0,"",VLOOKUP(A35,'Species List'!$A:$G,2,FALSE))</f>
        <v>long-headed thimbleweed</v>
      </c>
      <c r="C35" s="44">
        <f>IF(LEN(VLOOKUP(A35,'Species List'!$A:$G,3,FALSE))=0,"",VLOOKUP(A35,'Species List'!$A:$G,3,FALSE))</f>
        <v>6</v>
      </c>
      <c r="D35" s="99">
        <f t="shared" si="4"/>
        <v>6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23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3.9215686274509803E-2</v>
      </c>
      <c r="O35" s="98">
        <f t="shared" si="7"/>
        <v>0.23529411764705882</v>
      </c>
    </row>
    <row r="36" spans="1:15" x14ac:dyDescent="0.2">
      <c r="A36" s="123" t="s">
        <v>3383</v>
      </c>
      <c r="B36" s="44" t="str">
        <f>IF(LEN(VLOOKUP(A36,'Species List'!$A:$G,2,FALSE))=0,"",VLOOKUP(A36,'Species List'!$A:$G,2,FALSE))</f>
        <v>common plantain</v>
      </c>
      <c r="C36" s="44">
        <f>IF(LEN(VLOOKUP(A36,'Species List'!$A:$G,3,FALSE))=0,"",VLOOKUP(A36,'Species List'!$A:$G,3,FALSE))</f>
        <v>0</v>
      </c>
      <c r="D36" s="99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>FAC+</v>
      </c>
      <c r="H36" s="44">
        <f>VLOOKUP(A36,'Species List'!$A:$G,7,FALSE)</f>
        <v>0</v>
      </c>
      <c r="J36" s="123" t="s">
        <v>5409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100">
        <f t="shared" si="5"/>
        <v>0.5</v>
      </c>
      <c r="N36" s="98">
        <f t="shared" si="6"/>
        <v>6.5359477124183009E-3</v>
      </c>
      <c r="O36" s="98">
        <f t="shared" si="7"/>
        <v>0</v>
      </c>
    </row>
    <row r="37" spans="1:15" x14ac:dyDescent="0.2">
      <c r="A37" s="123" t="s">
        <v>5450</v>
      </c>
      <c r="B37" s="44" t="e">
        <f>IF(LEN(VLOOKUP(A37,'Species List'!$A:$G,2,FALSE))=0,"",VLOOKUP(A37,'Species List'!$A:$G,2,FALSE))</f>
        <v>#N/A</v>
      </c>
      <c r="C37" s="44">
        <v>6</v>
      </c>
      <c r="D37" s="99">
        <f t="shared" si="4"/>
        <v>6</v>
      </c>
      <c r="E37" s="44" t="s">
        <v>149</v>
      </c>
      <c r="F37" s="44" t="s">
        <v>147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3" t="s">
        <v>5409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100">
        <f t="shared" si="5"/>
        <v>0.5</v>
      </c>
      <c r="N37" s="98">
        <f t="shared" si="6"/>
        <v>6.5359477124183009E-3</v>
      </c>
      <c r="O37" s="98">
        <f t="shared" si="7"/>
        <v>3.9215686274509803E-2</v>
      </c>
    </row>
    <row r="38" spans="1:15" x14ac:dyDescent="0.2">
      <c r="A38" s="123" t="s">
        <v>2946</v>
      </c>
      <c r="B38" s="44" t="str">
        <f>IF(LEN(VLOOKUP(A38,'Species List'!$A:$G,2,FALSE))=0,"",VLOOKUP(A38,'Species List'!$A:$G,2,FALSE))</f>
        <v>wild bergamot</v>
      </c>
      <c r="C38" s="44">
        <f>IF(LEN(VLOOKUP(A38,'Species List'!$A:$G,3,FALSE))=0,"",VLOOKUP(A38,'Species List'!$A:$G,3,FALSE))</f>
        <v>3</v>
      </c>
      <c r="D38" s="99">
        <f t="shared" si="4"/>
        <v>3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FACU</v>
      </c>
      <c r="H38" s="44">
        <f>VLOOKUP(A38,'Species List'!$A:$G,7,FALSE)</f>
        <v>0</v>
      </c>
      <c r="J38" s="123" t="s">
        <v>5407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3.9215686274509803E-2</v>
      </c>
      <c r="O38" s="98">
        <f t="shared" si="7"/>
        <v>0.11764705882352941</v>
      </c>
    </row>
    <row r="39" spans="1:15" x14ac:dyDescent="0.2">
      <c r="A39" s="123" t="s">
        <v>3751</v>
      </c>
      <c r="B39" s="44" t="str">
        <f>IF(LEN(VLOOKUP(A39,'Species List'!$A:$G,2,FALSE))=0,"",VLOOKUP(A39,'Species List'!$A:$G,2,FALSE))</f>
        <v>gray-headed coneflower</v>
      </c>
      <c r="C39" s="44">
        <f>IF(LEN(VLOOKUP(A39,'Species List'!$A:$G,3,FALSE))=0,"",VLOOKUP(A39,'Species List'!$A:$G,3,FALSE))</f>
        <v>4</v>
      </c>
      <c r="D39" s="99">
        <f t="shared" si="4"/>
        <v>4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23" t="s">
        <v>5407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3.9215686274509803E-2</v>
      </c>
      <c r="O39" s="98">
        <f t="shared" si="7"/>
        <v>0.15686274509803921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76.5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5444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3" t="s">
        <v>756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6</v>
      </c>
      <c r="D12" s="99">
        <f t="shared" ref="D12:D20" si="0">VALUE(C12)</f>
        <v>6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3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78" si="1">VALUE(L12)</f>
        <v>62.5</v>
      </c>
      <c r="N12" s="108">
        <f t="shared" ref="N12:N77" si="2">L12/$L$153</f>
        <v>0.67567567567567566</v>
      </c>
      <c r="O12" s="108">
        <f t="shared" ref="O12:O78" si="3">D12*N12</f>
        <v>4.0540540540540544</v>
      </c>
    </row>
    <row r="13" spans="1:15" x14ac:dyDescent="0.2">
      <c r="A13" s="123" t="s">
        <v>4270</v>
      </c>
      <c r="B13" s="44" t="str">
        <f>IF(LEN(VLOOKUP(A13,'Species List'!$A:$G,2,FALSE))=0,"",VLOOKUP(A13,'Species List'!$A:$G,2,FALSE))</f>
        <v>Indian grass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FACU+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0.16216216216216217</v>
      </c>
      <c r="O13" s="108">
        <f t="shared" si="3"/>
        <v>0.81081081081081086</v>
      </c>
    </row>
    <row r="14" spans="1:15" x14ac:dyDescent="0.2">
      <c r="A14" s="123" t="s">
        <v>3443</v>
      </c>
      <c r="B14" s="44" t="str">
        <f>IF(LEN(VLOOKUP(A14,'Species List'!$A:$G,2,FALSE))=0,"",VLOOKUP(A14,'Species List'!$A:$G,2,FALSE))</f>
        <v>Kentucky bluegrass</v>
      </c>
      <c r="C14" s="44">
        <f>IF(LEN(VLOOKUP(A14,'Species List'!$A:$G,3,FALSE))=0,"",VLOOKUP(A14,'Species List'!$A:$G,3,FALSE))</f>
        <v>0</v>
      </c>
      <c r="D14" s="99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3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3.2432432432432434E-2</v>
      </c>
      <c r="O14" s="107">
        <f t="shared" si="3"/>
        <v>0</v>
      </c>
    </row>
    <row r="15" spans="1:15" x14ac:dyDescent="0.2">
      <c r="A15" s="123" t="s">
        <v>1691</v>
      </c>
      <c r="B15" s="44" t="str">
        <f>IF(LEN(VLOOKUP(A15,'Species List'!$A:$G,2,FALSE))=0,"",VLOOKUP(A15,'Species List'!$A:$G,2,FALSE))</f>
        <v>Scribner's panic grass</v>
      </c>
      <c r="C15" s="44">
        <f>IF(LEN(VLOOKUP(A15,'Species List'!$A:$G,3,FALSE))=0,"",VLOOKUP(A15,'Species List'!$A:$G,3,FALSE))</f>
        <v>3</v>
      </c>
      <c r="D15" s="99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3.2432432432432434E-2</v>
      </c>
      <c r="O15" s="98">
        <f t="shared" si="3"/>
        <v>9.7297297297297303E-2</v>
      </c>
    </row>
    <row r="16" spans="1:15" x14ac:dyDescent="0.2">
      <c r="A16" s="123" t="s">
        <v>4032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5</v>
      </c>
      <c r="D16" s="99">
        <f t="shared" si="0"/>
        <v>5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[FACU-]</v>
      </c>
      <c r="H16" s="44">
        <f>VLOOKUP(A16,'Species List'!$A:$G,7,FALSE)</f>
        <v>0</v>
      </c>
      <c r="J16" s="12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3.2432432432432434E-2</v>
      </c>
      <c r="O16" s="98">
        <f t="shared" si="3"/>
        <v>0.16216216216216217</v>
      </c>
    </row>
    <row r="17" spans="1:15" x14ac:dyDescent="0.2">
      <c r="A17" s="123" t="s">
        <v>252</v>
      </c>
      <c r="B17" s="44" t="str">
        <f>IF(LEN(VLOOKUP(A17,'Species List'!$A:$G,2,FALSE))=0,"",VLOOKUP(A17,'Species List'!$A:$G,2,FALSE))</f>
        <v>redtop</v>
      </c>
      <c r="C17" s="44">
        <f>IF(LEN(VLOOKUP(A17,'Species List'!$A:$G,3,FALSE))=0,"",VLOOKUP(A17,'Species List'!$A:$G,3,FALSE))</f>
        <v>0</v>
      </c>
      <c r="D17" s="99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[FACW]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3.2432432432432434E-2</v>
      </c>
      <c r="O17" s="98">
        <f t="shared" si="3"/>
        <v>0</v>
      </c>
    </row>
    <row r="18" spans="1:15" x14ac:dyDescent="0.2">
      <c r="A18" s="123" t="s">
        <v>373</v>
      </c>
      <c r="B18" s="44" t="str">
        <f>IF(LEN(VLOOKUP(A18,'Species List'!$A:$G,2,FALSE))=0,"",VLOOKUP(A18,'Species List'!$A:$G,2,FALSE))</f>
        <v>big bluestem</v>
      </c>
      <c r="C18" s="44">
        <f>IF(LEN(VLOOKUP(A18,'Species List'!$A:$G,3,FALSE))=0,"",VLOOKUP(A18,'Species List'!$A:$G,3,FALSE))</f>
        <v>4</v>
      </c>
      <c r="D18" s="99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3.2432432432432434E-2</v>
      </c>
      <c r="O18" s="98">
        <f t="shared" si="3"/>
        <v>0.12972972972972974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92.5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7</v>
      </c>
      <c r="C4" s="102">
        <f>COUNTIF(Forbs!$F$12:$F$150,"Native")</f>
        <v>20</v>
      </c>
      <c r="D4" s="102">
        <f>COUNTIF(Grasses!$F$12:$F$151,"Native")</f>
        <v>5</v>
      </c>
      <c r="E4" s="102">
        <f>AVERAGE(B4:D4)</f>
        <v>10.666666666666666</v>
      </c>
      <c r="F4" s="102">
        <f>SUM(B4:D4)</f>
        <v>32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8</v>
      </c>
      <c r="D5" s="102">
        <f>COUNTIF(Grasses!$F12:$F201,"Introduced")</f>
        <v>2</v>
      </c>
      <c r="E5" s="102">
        <f t="shared" ref="E5:E6" si="0">AVERAGE(B5:D5)</f>
        <v>4</v>
      </c>
      <c r="F5" s="102">
        <f>SUM(B5:D5)</f>
        <v>12</v>
      </c>
    </row>
    <row r="6" spans="1:6" s="81" customFormat="1" ht="21" x14ac:dyDescent="0.35">
      <c r="A6" s="53" t="s">
        <v>5411</v>
      </c>
      <c r="B6" s="102">
        <f>SUM(B4:B5)</f>
        <v>9</v>
      </c>
      <c r="C6" s="102">
        <f>SUM(C4:C5)</f>
        <v>28</v>
      </c>
      <c r="D6" s="102">
        <f>SUM(D4:D5)</f>
        <v>7</v>
      </c>
      <c r="E6" s="102">
        <f t="shared" si="0"/>
        <v>14.666666666666666</v>
      </c>
      <c r="F6" s="102">
        <f>SUM(B6:D6)</f>
        <v>44</v>
      </c>
    </row>
    <row r="7" spans="1:6" ht="18" x14ac:dyDescent="0.25">
      <c r="A7" s="53" t="s">
        <v>4843</v>
      </c>
      <c r="B7" s="102">
        <f>AVERAGEIF(Woody!D12:D152,"&gt;0")</f>
        <v>3.2857142857142856</v>
      </c>
      <c r="C7" s="102">
        <f>AVERAGEIF(Forbs!D12:D152,"&gt;0")</f>
        <v>3.9473684210526314</v>
      </c>
      <c r="D7" s="102">
        <f>AVERAGEIF(Grasses!D12:D152,"&gt;0")</f>
        <v>4.5999999999999996</v>
      </c>
      <c r="E7" s="102">
        <f>AVERAGE(B7:D7)</f>
        <v>3.9443609022556387</v>
      </c>
      <c r="F7" s="102">
        <f>(SUMIF(Woody!D12:D152,"&gt;0")+SUMIF(Forbs!D12:D152,"&gt;0")+SUMIF(Grasses!D12:D152,"&gt;0"))/(COUNTIF(Woody!D12:D152,"&gt;0")+COUNTIF(Forbs!D12:D152,"&gt;0")+COUNTIF(Grasses!D12:D152,"&gt;0"))</f>
        <v>3.903225806451613</v>
      </c>
    </row>
    <row r="8" spans="1:6" s="31" customFormat="1" ht="21" x14ac:dyDescent="0.35">
      <c r="A8" s="53" t="s">
        <v>5412</v>
      </c>
      <c r="B8" s="102">
        <f>AVERAGEIF(Woody!D12:D152,"&gt;=0")</f>
        <v>2.5555555555555554</v>
      </c>
      <c r="C8" s="102">
        <f>AVERAGEIF(Forbs!D12:D152,"&gt;=0")</f>
        <v>2.6785714285714284</v>
      </c>
      <c r="D8" s="102">
        <f>AVERAGEIF(Grasses!D12:D152,"&gt;=0")</f>
        <v>3.2857142857142856</v>
      </c>
      <c r="E8" s="102">
        <f>AVERAGE(B8:D8)</f>
        <v>2.8399470899470898</v>
      </c>
      <c r="F8" s="102">
        <f>(SUMIF(Woody!D12:D152,"&gt;=0")+SUMIF(Forbs!D12:D152,"&gt;=0")+SUMIF(Grasses!D12:D152,"&gt;=0"))/(COUNTIF(Woody!D12:D152,"&gt;=0")+COUNTIF(Forbs!D12:D152,"&gt;=0")+COUNTIF(Grasses!D12:D152,"&gt;=0"))</f>
        <v>2.75</v>
      </c>
    </row>
    <row r="9" spans="1:6" ht="18" x14ac:dyDescent="0.25">
      <c r="A9" s="53" t="s">
        <v>4836</v>
      </c>
      <c r="B9" s="102">
        <f>SQRT(B4)*B7</f>
        <v>8.6931828792122268</v>
      </c>
      <c r="C9" s="102">
        <f>SQRT(C4)*C7</f>
        <v>17.653168243419394</v>
      </c>
      <c r="D9" s="102">
        <f>SQRT(D4)*D7</f>
        <v>10.285912696499032</v>
      </c>
      <c r="E9" s="102">
        <f>SQRT(E4)*E7</f>
        <v>12.882228762546918</v>
      </c>
      <c r="F9" s="102">
        <f>SQRT(F4)*F7</f>
        <v>22.07997948995413</v>
      </c>
    </row>
    <row r="10" spans="1:6" s="82" customFormat="1" ht="21" x14ac:dyDescent="0.35">
      <c r="A10" s="53" t="s">
        <v>5413</v>
      </c>
      <c r="B10" s="102">
        <f>SQRT(B6)*B8</f>
        <v>7.6666666666666661</v>
      </c>
      <c r="C10" s="102">
        <f>SQRT(C6)*C8</f>
        <v>14.173667737846021</v>
      </c>
      <c r="D10" s="102">
        <f>SQRT(D6)*D8</f>
        <v>8.6931828792122268</v>
      </c>
      <c r="E10" s="102">
        <f>SQRT(E6)*E8</f>
        <v>10.876169314036284</v>
      </c>
      <c r="F10" s="102">
        <f>SQRT(F6)*F8</f>
        <v>18.2414363469547</v>
      </c>
    </row>
    <row r="11" spans="1:6" ht="18" x14ac:dyDescent="0.25">
      <c r="A11" s="53" t="s">
        <v>4844</v>
      </c>
      <c r="B11" s="102">
        <f>SUMIF(Woody!$M$12:$M$152,"&gt;=0")</f>
        <v>24.5</v>
      </c>
      <c r="C11" s="102">
        <f>SUMIF(Forbs!$M$12:$M$153,"&gt;=0")</f>
        <v>76.5</v>
      </c>
      <c r="D11" s="102">
        <f>SUMIF(Grasses!$M$12:$M$152,"&gt;=0")</f>
        <v>92.5</v>
      </c>
      <c r="E11" s="102">
        <f>AVERAGE(B11:D11)</f>
        <v>64.5</v>
      </c>
      <c r="F11" s="102">
        <f>SUM(B11:D11)</f>
        <v>193.5</v>
      </c>
    </row>
    <row r="12" spans="1:6" ht="18" x14ac:dyDescent="0.25">
      <c r="A12" s="53" t="s">
        <v>5377</v>
      </c>
      <c r="B12" s="102">
        <f>SUMIF(Woody!$F$12:$F$152,"Introduced",Woody!$L$12:$L$152)</f>
        <v>6</v>
      </c>
      <c r="C12" s="102">
        <f>SUMIF(Forbs!$F$12:$F$153,"Introduced",Forbs!$L$12:$L$153)</f>
        <v>19</v>
      </c>
      <c r="D12" s="102">
        <f>SUMIF(Grasses!$F$12:$F$152,"Introduced",Grasses!$L$12:$L$152)</f>
        <v>6</v>
      </c>
      <c r="E12" s="102">
        <f>AVERAGE(B12:D12)</f>
        <v>10.333333333333334</v>
      </c>
      <c r="F12" s="102">
        <f>SUM(B12:D12)</f>
        <v>31</v>
      </c>
    </row>
    <row r="13" spans="1:6" ht="18.75" thickBot="1" x14ac:dyDescent="0.3">
      <c r="A13" s="54" t="s">
        <v>4845</v>
      </c>
      <c r="B13" s="103">
        <f>B12/B11</f>
        <v>0.24489795918367346</v>
      </c>
      <c r="C13" s="103">
        <f>C12/C11</f>
        <v>0.24836601307189543</v>
      </c>
      <c r="D13" s="103">
        <f>D12/D11</f>
        <v>6.4864864864864868E-2</v>
      </c>
      <c r="E13" s="103">
        <f>E12/E11</f>
        <v>0.16020671834625325</v>
      </c>
      <c r="F13" s="103">
        <f>F12/F11</f>
        <v>0.16020671834625322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2.510204081632653</v>
      </c>
      <c r="C15" s="101">
        <f>SUMIF(Forbs!$O$12:$O$152,"&gt;=0")</f>
        <v>2.7450980392156858</v>
      </c>
      <c r="D15" s="101">
        <f>SUMIF(Grasses!$O$12:$O$152,"&gt;=0")</f>
        <v>5.2540540540540537</v>
      </c>
      <c r="E15" s="101">
        <f>AVERAGE(B15:D15)</f>
        <v>3.5031187249674645</v>
      </c>
      <c r="F15" s="102">
        <f>SUM(B15:D15)</f>
        <v>10.509356174902393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2023-01-27T17:37:13Z</dcterms:modified>
</cp:coreProperties>
</file>